
<file path=[Content_Types].xml><?xml version="1.0" encoding="utf-8"?>
<Types xmlns="http://schemas.openxmlformats.org/package/2006/content-types">
  <Default Extension="xml" ContentType="application/xml"/>
  <Default Extension="bin" ContentType="application/vnd.openxmlformats-officedocument.spreadsheetml.printerSettings"/>
  <Default Extension="vml" ContentType="application/vnd.openxmlformats-officedocument.vmlDrawing"/>
  <Default Extension="rels" ContentType="application/vnd.openxmlformats-package.relationships+xml"/>
  <Default Extension="emf" ContentType="image/x-em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27610"/>
  <workbookPr showInkAnnotation="0" autoCompressPictures="0"/>
  <mc:AlternateContent xmlns:mc="http://schemas.openxmlformats.org/markup-compatibility/2006">
    <mc:Choice Requires="x15">
      <x15ac:absPath xmlns:x15ac="http://schemas.microsoft.com/office/spreadsheetml/2010/11/ac" url="/Users/mette/Desktop/"/>
    </mc:Choice>
  </mc:AlternateContent>
  <bookViews>
    <workbookView xWindow="6640" yWindow="460" windowWidth="37560" windowHeight="23540" tabRatio="866"/>
  </bookViews>
  <sheets>
    <sheet name="Indledning" sheetId="22" r:id="rId1"/>
    <sheet name="Statistik" sheetId="19" r:id="rId2"/>
    <sheet name="Start" sheetId="2" r:id="rId3"/>
    <sheet name="Raabudget" sheetId="3" r:id="rId4"/>
    <sheet name="Budget" sheetId="4" r:id="rId5"/>
    <sheet name="1.Driftstilskud" sheetId="5" r:id="rId6"/>
    <sheet name="2.Oevrige Statstilskud" sheetId="6" r:id="rId7"/>
    <sheet name="3.Skolepenge" sheetId="7" r:id="rId8"/>
    <sheet name="4.Foraeldrebetaling,SFO" sheetId="8" r:id="rId9"/>
    <sheet name="5.Andre_Indt" sheetId="9" r:id="rId10"/>
    <sheet name="7.Loen,Uv" sheetId="10" r:id="rId11"/>
    <sheet name="8.Loen,SFO" sheetId="11" r:id="rId12"/>
    <sheet name="9.Uv." sheetId="12" r:id="rId13"/>
    <sheet name="10.SFOudg." sheetId="13" r:id="rId14"/>
    <sheet name="12.Ejd.loen" sheetId="14" r:id="rId15"/>
    <sheet name="13.Lokaleleje" sheetId="15" r:id="rId16"/>
    <sheet name="14.Ejendom" sheetId="16" r:id="rId17"/>
    <sheet name="20.Adm.loen" sheetId="17" r:id="rId18"/>
    <sheet name="21.Adm" sheetId="18" r:id="rId19"/>
    <sheet name="22.Dagtilbud" sheetId="20" r:id="rId20"/>
  </sheets>
  <externalReferences>
    <externalReference r:id="rId21"/>
  </externalReferences>
  <definedNames>
    <definedName name="aarstal">Start!$A$1</definedName>
    <definedName name="budgetår">2017</definedName>
    <definedName name="data15">[1]Transp!$NV$4:$RF$495</definedName>
    <definedName name="elevtal">Start!$A$5</definedName>
    <definedName name="gruppe">#REF!</definedName>
    <definedName name="kolonne">Statistik!$BN$2</definedName>
    <definedName name="mellemsmåDFLSReg1">[1]kriterier!$F$8:$J$10</definedName>
    <definedName name="mellemsmåDFLSReg2">[1]kriterier!$F$33:$J$35</definedName>
    <definedName name="mellemsmåDFLSReg3">[1]kriterier!$F$58:$J$60</definedName>
    <definedName name="mellemsmåDFLSReg4">[1]kriterier!$F$83:$J$85</definedName>
    <definedName name="mellemsmåDFLSReg5">[1]kriterier!$F$108:$J$110</definedName>
    <definedName name="mellemsmåDFLSReg6">[1]kriterier!$F$133:$J$135</definedName>
    <definedName name="mellemstoreDFLSReg1">[1]kriterier!$F$13:$J$15</definedName>
    <definedName name="mellemstoreDFLSReg2">[1]kriterier!$F$38:$J$40</definedName>
    <definedName name="mellemstoreDFLSReg3">[1]kriterier!$F$63:$J$65</definedName>
    <definedName name="mellemstoreDFLSReg4">[1]kriterier!$F$88:$J$90</definedName>
    <definedName name="mellemstoreDFLSReg5">[1]kriterier!$F$113:$J$115</definedName>
    <definedName name="mellemstoreDFLSReg6">[1]kriterier!$F$138:$J$140</definedName>
    <definedName name="opqsøg" hidden="1">{#N/A,#N/A,FALSE,"Månedsaktivitetsplan"}</definedName>
    <definedName name="opsøg" hidden="1">{#N/A,#N/A,FALSE,"Månedsaktivitetsplan"}</definedName>
    <definedName name="reg">Start!$A$9:$B$14</definedName>
    <definedName name="region">Start!$A$16</definedName>
    <definedName name="småDFLSReg1">[1]kriterier!$F$3:$I$5</definedName>
    <definedName name="småDFLSReg2">[1]kriterier!$F$28:$I$30</definedName>
    <definedName name="småDFLSReg3">[1]kriterier!$F$53:$I$55</definedName>
    <definedName name="småDFLSReg4">[1]kriterier!$F$78:$I$80</definedName>
    <definedName name="småDFLSReg5">[1]kriterier!$F$98:$I$100</definedName>
    <definedName name="småDFLSReg6">[1]kriterier!$F$128:$I$130</definedName>
    <definedName name="storeDFLSReg1">[1]kriterier!$F$18:$J$20</definedName>
    <definedName name="storeDFLSReg2">[1]kriterier!$F$43:$J$45</definedName>
    <definedName name="storeDFLSReg3">[1]kriterier!$F$68:$J$70</definedName>
    <definedName name="storeDFLSReg4">[1]kriterier!$F$93:$J$95</definedName>
    <definedName name="storeDFLSReg5">[1]kriterier!$F$118:$J$120</definedName>
    <definedName name="storeDFLSReg6">[1]kriterier!$F$143:$J$145</definedName>
    <definedName name="str">#REF!</definedName>
    <definedName name="stør">Statistik!$BM$37:$BN$41</definedName>
    <definedName name="wrn.Årsplan." hidden="1">{#N/A,#N/A,FALSE,"Månedsaktivitetsplan"}</definedName>
    <definedName name="XstoreDFLSReg1">[1]kriterier!$F$23:$I$25</definedName>
    <definedName name="XstoreDFLSReg2">[1]kriterier!$F$48:$I$50</definedName>
    <definedName name="XstoreDFLSReg3">[1]kriterier!$F$73:$I$75</definedName>
    <definedName name="XstoreDFLSReg4">[1]kriterier!$F$98:$I$100</definedName>
    <definedName name="XstoreDFLSReg5">[1]kriterier!$F$123:$I$125</definedName>
    <definedName name="XstoreDFLSReg6">[1]kriterier!$F$148:$I$150</definedName>
  </definedNames>
  <calcPr calcId="150001" concurrentCalc="0"/>
  <extLst>
    <ext xmlns:x14="http://schemas.microsoft.com/office/spreadsheetml/2009/9/main" uri="{79F54976-1DA5-4618-B147-4CDE4B953A38}">
      <x14:workbookPr defaultImageDpi="32767"/>
    </ext>
    <ext xmlns:mx="http://schemas.microsoft.com/office/mac/excel/2008/main" uri="{7523E5D3-25F3-A5E0-1632-64F254C22452}">
      <mx:ArchID Flags="2"/>
    </ext>
  </extLst>
</workbook>
</file>

<file path=xl/calcChain.xml><?xml version="1.0" encoding="utf-8"?>
<calcChain xmlns="http://schemas.openxmlformats.org/spreadsheetml/2006/main">
  <c r="BM2" i="19" l="1"/>
  <c r="BN2" i="19"/>
  <c r="D6" i="3"/>
  <c r="F6" i="3"/>
  <c r="E32" i="3"/>
  <c r="F32" i="3"/>
  <c r="D30" i="4"/>
  <c r="H6" i="3"/>
  <c r="G32" i="3"/>
  <c r="H32" i="3"/>
  <c r="E30" i="4"/>
  <c r="F30" i="4"/>
  <c r="E33" i="3"/>
  <c r="F33" i="3"/>
  <c r="D31" i="4"/>
  <c r="G33" i="3"/>
  <c r="H33" i="3"/>
  <c r="E31" i="4"/>
  <c r="F31" i="4"/>
  <c r="E34" i="3"/>
  <c r="F34" i="3"/>
  <c r="D32" i="4"/>
  <c r="G34" i="3"/>
  <c r="H34" i="3"/>
  <c r="E32" i="4"/>
  <c r="F32" i="4"/>
  <c r="F33" i="4"/>
  <c r="E28" i="6"/>
  <c r="E29" i="6"/>
  <c r="E30" i="6"/>
  <c r="E31" i="6"/>
  <c r="E32" i="6"/>
  <c r="B30" i="6"/>
  <c r="B1" i="3"/>
  <c r="E35" i="20"/>
  <c r="E47" i="20"/>
  <c r="E59" i="20"/>
  <c r="E65" i="20"/>
  <c r="E76" i="20"/>
  <c r="E86" i="20"/>
  <c r="E97" i="20"/>
  <c r="E99" i="20"/>
  <c r="E101" i="20"/>
  <c r="E39" i="4"/>
  <c r="E6" i="20"/>
  <c r="E10" i="20"/>
  <c r="E14" i="20"/>
  <c r="E38" i="4"/>
  <c r="G7" i="3"/>
  <c r="E7" i="3"/>
  <c r="C7" i="3"/>
  <c r="B44" i="3"/>
  <c r="L28" i="11"/>
  <c r="D28" i="11"/>
  <c r="M28" i="11"/>
  <c r="E28" i="11"/>
  <c r="L29" i="11"/>
  <c r="D29" i="11"/>
  <c r="M29" i="11"/>
  <c r="E29" i="11"/>
  <c r="L30" i="11"/>
  <c r="D30" i="11"/>
  <c r="M30" i="11"/>
  <c r="E30" i="11"/>
  <c r="L31" i="11"/>
  <c r="D31" i="11"/>
  <c r="M31" i="11"/>
  <c r="E31" i="11"/>
  <c r="M27" i="11"/>
  <c r="E27" i="11"/>
  <c r="L27" i="11"/>
  <c r="D27" i="11"/>
  <c r="E88" i="20"/>
  <c r="D88" i="20"/>
  <c r="E78" i="20"/>
  <c r="D78" i="20"/>
  <c r="E67" i="20"/>
  <c r="D67" i="20"/>
  <c r="E61" i="20"/>
  <c r="D61" i="20"/>
  <c r="E49" i="20"/>
  <c r="D49" i="20"/>
  <c r="E37" i="20"/>
  <c r="E21" i="20"/>
  <c r="E25" i="20"/>
  <c r="E29" i="20"/>
  <c r="E102" i="20"/>
  <c r="D25" i="20"/>
  <c r="D21" i="20"/>
  <c r="D10" i="20"/>
  <c r="D6" i="20"/>
  <c r="D14" i="20"/>
  <c r="C38" i="4"/>
  <c r="G38" i="4"/>
  <c r="D35" i="20"/>
  <c r="D47" i="20"/>
  <c r="D59" i="20"/>
  <c r="D65" i="20"/>
  <c r="D76" i="20"/>
  <c r="D86" i="20"/>
  <c r="D99" i="20"/>
  <c r="D101" i="20"/>
  <c r="C39" i="4"/>
  <c r="G39" i="4"/>
  <c r="D37" i="20"/>
  <c r="E31" i="20"/>
  <c r="D31" i="20"/>
  <c r="E17" i="20"/>
  <c r="D17" i="20"/>
  <c r="E2" i="20"/>
  <c r="D2" i="20"/>
  <c r="D29" i="20"/>
  <c r="K22" i="20"/>
  <c r="K33" i="20"/>
  <c r="K35" i="20"/>
  <c r="G16" i="20"/>
  <c r="E28" i="20"/>
  <c r="D28" i="20"/>
  <c r="E13" i="20"/>
  <c r="D13" i="20"/>
  <c r="J7" i="20"/>
  <c r="I5" i="20"/>
  <c r="I6" i="20"/>
  <c r="I7" i="20"/>
  <c r="B37" i="11"/>
  <c r="B36" i="11"/>
  <c r="B35" i="11"/>
  <c r="A25" i="10"/>
  <c r="A5" i="10"/>
  <c r="A26" i="5"/>
  <c r="A8" i="5"/>
  <c r="A7" i="5"/>
  <c r="A5" i="5"/>
  <c r="A3" i="5"/>
  <c r="B13" i="6"/>
  <c r="A10" i="6"/>
  <c r="A9" i="6"/>
  <c r="B43" i="5"/>
  <c r="B42" i="5"/>
  <c r="B41" i="5"/>
  <c r="B40" i="5"/>
  <c r="B39" i="5"/>
  <c r="E8" i="3"/>
  <c r="G8" i="3"/>
  <c r="E9" i="3"/>
  <c r="G9" i="3"/>
  <c r="E10" i="3"/>
  <c r="G10" i="3"/>
  <c r="E11" i="3"/>
  <c r="G11" i="3"/>
  <c r="E12" i="3"/>
  <c r="G12" i="3"/>
  <c r="E14" i="3"/>
  <c r="G14" i="3"/>
  <c r="E15" i="3"/>
  <c r="G15" i="3"/>
  <c r="E16" i="3"/>
  <c r="G16" i="3"/>
  <c r="E17" i="3"/>
  <c r="G17" i="3"/>
  <c r="E19" i="3"/>
  <c r="G19" i="3"/>
  <c r="E20" i="3"/>
  <c r="G20" i="3"/>
  <c r="E21" i="3"/>
  <c r="G21" i="3"/>
  <c r="E22" i="3"/>
  <c r="G22" i="3"/>
  <c r="E23" i="3"/>
  <c r="G23" i="3"/>
  <c r="E24" i="3"/>
  <c r="G24" i="3"/>
  <c r="E27" i="3"/>
  <c r="G27" i="3"/>
  <c r="E28" i="3"/>
  <c r="G28" i="3"/>
  <c r="E8" i="8"/>
  <c r="E15" i="8"/>
  <c r="B22" i="11"/>
  <c r="C22" i="11"/>
  <c r="C27" i="11"/>
  <c r="F27" i="11"/>
  <c r="F32" i="11"/>
  <c r="F28" i="11"/>
  <c r="F29" i="11"/>
  <c r="F30" i="11"/>
  <c r="F31" i="11"/>
  <c r="E22" i="8"/>
  <c r="B23" i="11"/>
  <c r="C23" i="11"/>
  <c r="A22" i="11"/>
  <c r="G17" i="8"/>
  <c r="G10" i="8"/>
  <c r="G3" i="8"/>
  <c r="A10" i="5"/>
  <c r="A2" i="5"/>
  <c r="D19" i="13"/>
  <c r="D20" i="8"/>
  <c r="G20" i="8"/>
  <c r="D21" i="8"/>
  <c r="G21" i="8"/>
  <c r="D13" i="8"/>
  <c r="G13" i="8"/>
  <c r="D14" i="8"/>
  <c r="G14" i="8"/>
  <c r="C19" i="13"/>
  <c r="D6" i="8"/>
  <c r="G6" i="8"/>
  <c r="D7" i="8"/>
  <c r="G7" i="8"/>
  <c r="G8" i="8"/>
  <c r="B23" i="2"/>
  <c r="B22" i="2"/>
  <c r="B21" i="2"/>
  <c r="B20" i="2"/>
  <c r="B19" i="2"/>
  <c r="B18" i="2"/>
  <c r="A4" i="10"/>
  <c r="C43" i="5"/>
  <c r="C42" i="5"/>
  <c r="C41" i="5"/>
  <c r="B35" i="5"/>
  <c r="C40" i="5"/>
  <c r="C38" i="5"/>
  <c r="A15" i="10"/>
  <c r="A16" i="10"/>
  <c r="D16" i="10"/>
  <c r="E9" i="10"/>
  <c r="E15" i="10"/>
  <c r="D15" i="10"/>
  <c r="A17" i="10"/>
  <c r="D17" i="10"/>
  <c r="E17" i="10"/>
  <c r="F17" i="10"/>
  <c r="E34" i="11"/>
  <c r="G14" i="10"/>
  <c r="D30" i="16"/>
  <c r="D22" i="16"/>
  <c r="D7" i="16"/>
  <c r="C30" i="16"/>
  <c r="C22" i="16"/>
  <c r="C7" i="16"/>
  <c r="A30" i="6"/>
  <c r="A29" i="6"/>
  <c r="A28" i="6"/>
  <c r="B14" i="6"/>
  <c r="B19" i="6"/>
  <c r="B15" i="5"/>
  <c r="B22" i="6"/>
  <c r="B12" i="6"/>
  <c r="D21" i="18"/>
  <c r="C21" i="18"/>
  <c r="C3" i="18"/>
  <c r="D3" i="18"/>
  <c r="B22" i="18"/>
  <c r="D5" i="17"/>
  <c r="C5" i="17"/>
  <c r="B5" i="17"/>
  <c r="C26" i="16"/>
  <c r="D26" i="16"/>
  <c r="C3" i="16"/>
  <c r="D3" i="16"/>
  <c r="B23" i="16"/>
  <c r="C16" i="16"/>
  <c r="D16" i="16"/>
  <c r="B13" i="16"/>
  <c r="C11" i="16"/>
  <c r="D11" i="16"/>
  <c r="B31" i="16"/>
  <c r="C15" i="5"/>
  <c r="D3" i="15"/>
  <c r="C3" i="15"/>
  <c r="B3" i="15"/>
  <c r="D5" i="14"/>
  <c r="C5" i="14"/>
  <c r="B5" i="14"/>
  <c r="E14" i="10"/>
  <c r="C3" i="13"/>
  <c r="D3" i="13"/>
  <c r="B20" i="13"/>
  <c r="E6" i="13"/>
  <c r="C3" i="12"/>
  <c r="D3" i="12"/>
  <c r="B20" i="12"/>
  <c r="E6" i="12"/>
  <c r="D19" i="12"/>
  <c r="C19" i="12"/>
  <c r="A12" i="11"/>
  <c r="A7" i="11"/>
  <c r="A23" i="11"/>
  <c r="A12" i="10"/>
  <c r="D9" i="10"/>
  <c r="B17" i="10"/>
  <c r="B16" i="10"/>
  <c r="B15" i="10"/>
  <c r="C2" i="9"/>
  <c r="D2" i="9"/>
  <c r="B19" i="9"/>
  <c r="G2" i="7"/>
  <c r="G10" i="7"/>
  <c r="G18" i="7"/>
  <c r="A23" i="6"/>
  <c r="A22" i="6"/>
  <c r="A21" i="6"/>
  <c r="A19" i="6"/>
  <c r="A18" i="6"/>
  <c r="A14" i="6"/>
  <c r="A13" i="6"/>
  <c r="A12" i="6"/>
  <c r="A7" i="6"/>
  <c r="A5" i="6"/>
  <c r="A48" i="5"/>
  <c r="A46" i="5"/>
  <c r="A44" i="5"/>
  <c r="A37" i="5"/>
  <c r="A34" i="5"/>
  <c r="A33" i="5"/>
  <c r="A32" i="5"/>
  <c r="A30" i="5"/>
  <c r="A28" i="5"/>
  <c r="A14" i="5"/>
  <c r="A13" i="5"/>
  <c r="A12" i="5"/>
  <c r="A11" i="5"/>
  <c r="G3" i="4"/>
  <c r="I4" i="3"/>
  <c r="F4" i="4"/>
  <c r="H4" i="3"/>
  <c r="E4" i="4"/>
  <c r="F4" i="3"/>
  <c r="D4" i="4"/>
  <c r="D4" i="3"/>
  <c r="C4" i="4"/>
  <c r="M3" i="10"/>
  <c r="N3" i="10"/>
  <c r="A7" i="10"/>
  <c r="M5" i="10"/>
  <c r="N5" i="10"/>
  <c r="N4" i="10"/>
  <c r="M4" i="10"/>
  <c r="C18" i="9"/>
  <c r="D5" i="7"/>
  <c r="G5" i="7"/>
  <c r="D6" i="7"/>
  <c r="G6" i="7"/>
  <c r="D7" i="7"/>
  <c r="G7" i="7"/>
  <c r="B6" i="5"/>
  <c r="B8" i="5"/>
  <c r="D8" i="3"/>
  <c r="C6" i="4"/>
  <c r="D42" i="3"/>
  <c r="C40" i="4"/>
  <c r="G40" i="4"/>
  <c r="D18" i="9"/>
  <c r="H22" i="8"/>
  <c r="H15" i="8"/>
  <c r="H8" i="8"/>
  <c r="D21" i="7"/>
  <c r="G21" i="7"/>
  <c r="D22" i="7"/>
  <c r="G22" i="7"/>
  <c r="D23" i="7"/>
  <c r="G23" i="7"/>
  <c r="D13" i="7"/>
  <c r="G13" i="7"/>
  <c r="D14" i="7"/>
  <c r="G14" i="7"/>
  <c r="D15" i="7"/>
  <c r="G15" i="7"/>
  <c r="E24" i="7"/>
  <c r="E16" i="7"/>
  <c r="E8" i="7"/>
  <c r="H3" i="4"/>
  <c r="H21" i="7"/>
  <c r="H22" i="7"/>
  <c r="H23" i="7"/>
  <c r="H13" i="7"/>
  <c r="H14" i="7"/>
  <c r="H15" i="7"/>
  <c r="H5" i="7"/>
  <c r="H6" i="7"/>
  <c r="H7" i="7"/>
  <c r="H8" i="7"/>
  <c r="C22" i="5"/>
  <c r="C23" i="5"/>
  <c r="C24" i="5"/>
  <c r="C25" i="5"/>
  <c r="C20" i="5"/>
  <c r="E37" i="3"/>
  <c r="E38" i="3"/>
  <c r="G38" i="3"/>
  <c r="I40" i="3"/>
  <c r="I41" i="3"/>
  <c r="F42" i="3"/>
  <c r="H42" i="3"/>
  <c r="I42" i="3"/>
  <c r="F40" i="4"/>
  <c r="H40" i="4"/>
  <c r="B7" i="5"/>
  <c r="D40" i="4"/>
  <c r="E40" i="4"/>
  <c r="D5" i="3"/>
  <c r="G22" i="8"/>
  <c r="G15" i="8"/>
  <c r="H24" i="7"/>
  <c r="G24" i="7"/>
  <c r="H16" i="7"/>
  <c r="G16" i="7"/>
  <c r="G8" i="7"/>
  <c r="C39" i="5"/>
  <c r="C44" i="5"/>
  <c r="C46" i="5"/>
  <c r="B23" i="6"/>
  <c r="E7" i="4"/>
  <c r="C21" i="5"/>
  <c r="C26" i="5"/>
  <c r="C28" i="5"/>
  <c r="F15" i="10"/>
  <c r="K17" i="10"/>
  <c r="H17" i="10"/>
  <c r="E12" i="4"/>
  <c r="K15" i="10"/>
  <c r="L15" i="10"/>
  <c r="M15" i="10"/>
  <c r="H15" i="10"/>
  <c r="C12" i="4"/>
  <c r="G37" i="3"/>
  <c r="D35" i="11"/>
  <c r="F35" i="11"/>
  <c r="D15" i="3"/>
  <c r="C13" i="4"/>
  <c r="D37" i="11"/>
  <c r="F37" i="11"/>
  <c r="E13" i="4"/>
  <c r="D36" i="11"/>
  <c r="F36" i="11"/>
  <c r="F15" i="3"/>
  <c r="D13" i="4"/>
  <c r="B8" i="16"/>
  <c r="E16" i="10"/>
  <c r="F16" i="10"/>
  <c r="D39" i="4"/>
  <c r="F39" i="4"/>
  <c r="H39" i="4"/>
  <c r="D38" i="4"/>
  <c r="F38" i="4"/>
  <c r="H38" i="4"/>
  <c r="B28" i="6"/>
  <c r="C7" i="4"/>
  <c r="B29" i="6"/>
  <c r="D7" i="4"/>
  <c r="D102" i="20"/>
  <c r="F19" i="3"/>
  <c r="D14" i="3"/>
  <c r="H37" i="3"/>
  <c r="H28" i="3"/>
  <c r="H27" i="3"/>
  <c r="D19" i="3"/>
  <c r="D38" i="3"/>
  <c r="F21" i="3"/>
  <c r="H10" i="3"/>
  <c r="D33" i="3"/>
  <c r="H16" i="3"/>
  <c r="H11" i="3"/>
  <c r="F26" i="3"/>
  <c r="F10" i="3"/>
  <c r="D20" i="3"/>
  <c r="H15" i="3"/>
  <c r="D24" i="3"/>
  <c r="H21" i="3"/>
  <c r="H20" i="3"/>
  <c r="H8" i="3"/>
  <c r="F12" i="3"/>
  <c r="F28" i="3"/>
  <c r="F23" i="3"/>
  <c r="H38" i="3"/>
  <c r="F38" i="3"/>
  <c r="F9" i="3"/>
  <c r="H22" i="3"/>
  <c r="D27" i="3"/>
  <c r="D9" i="3"/>
  <c r="H26" i="3"/>
  <c r="D28" i="3"/>
  <c r="F37" i="3"/>
  <c r="D21" i="3"/>
  <c r="F20" i="3"/>
  <c r="D34" i="3"/>
  <c r="F27" i="3"/>
  <c r="H12" i="3"/>
  <c r="D23" i="3"/>
  <c r="D22" i="3"/>
  <c r="D32" i="3"/>
  <c r="D37" i="3"/>
  <c r="H17" i="3"/>
  <c r="H14" i="3"/>
  <c r="H23" i="3"/>
  <c r="D10" i="3"/>
  <c r="F17" i="3"/>
  <c r="F11" i="3"/>
  <c r="D17" i="3"/>
  <c r="H9" i="3"/>
  <c r="F8" i="3"/>
  <c r="H24" i="3"/>
  <c r="D26" i="3"/>
  <c r="D12" i="3"/>
  <c r="H19" i="3"/>
  <c r="F24" i="3"/>
  <c r="F16" i="3"/>
  <c r="F14" i="3"/>
  <c r="F22" i="3"/>
  <c r="D16" i="3"/>
  <c r="D11" i="3"/>
  <c r="F13" i="4"/>
  <c r="C48" i="5"/>
  <c r="F7" i="4"/>
  <c r="E9" i="4"/>
  <c r="I22" i="8"/>
  <c r="E15" i="4"/>
  <c r="E14" i="4"/>
  <c r="E19" i="4"/>
  <c r="E20" i="4"/>
  <c r="H35" i="3"/>
  <c r="D6" i="14"/>
  <c r="H25" i="3"/>
  <c r="E17" i="4"/>
  <c r="C32" i="4"/>
  <c r="G32" i="4"/>
  <c r="C32" i="16"/>
  <c r="C22" i="4"/>
  <c r="G22" i="4"/>
  <c r="C24" i="4"/>
  <c r="G24" i="4"/>
  <c r="D18" i="3"/>
  <c r="J15" i="10"/>
  <c r="C24" i="18"/>
  <c r="C26" i="4"/>
  <c r="G26" i="4"/>
  <c r="C31" i="4"/>
  <c r="G31" i="4"/>
  <c r="D13" i="3"/>
  <c r="G6" i="4"/>
  <c r="D24" i="18"/>
  <c r="D35" i="4"/>
  <c r="D22" i="13"/>
  <c r="D36" i="4"/>
  <c r="D6" i="17"/>
  <c r="H29" i="3"/>
  <c r="D24" i="16"/>
  <c r="E21" i="4"/>
  <c r="I19" i="3"/>
  <c r="E22" i="4"/>
  <c r="E10" i="4"/>
  <c r="I15" i="8"/>
  <c r="D9" i="4"/>
  <c r="I11" i="3"/>
  <c r="E36" i="4"/>
  <c r="I16" i="7"/>
  <c r="D8" i="4"/>
  <c r="D24" i="4"/>
  <c r="I8" i="8"/>
  <c r="C9" i="4"/>
  <c r="G9" i="4"/>
  <c r="D6" i="4"/>
  <c r="D21" i="4"/>
  <c r="H13" i="3"/>
  <c r="E6" i="4"/>
  <c r="C36" i="4"/>
  <c r="G36" i="4"/>
  <c r="H35" i="11"/>
  <c r="D9" i="16"/>
  <c r="E26" i="4"/>
  <c r="E35" i="4"/>
  <c r="E8" i="4"/>
  <c r="I24" i="7"/>
  <c r="H37" i="11"/>
  <c r="D20" i="4"/>
  <c r="I22" i="3"/>
  <c r="E24" i="4"/>
  <c r="H36" i="11"/>
  <c r="I15" i="3"/>
  <c r="I8" i="7"/>
  <c r="C35" i="4"/>
  <c r="G35" i="4"/>
  <c r="I16" i="3"/>
  <c r="D14" i="4"/>
  <c r="D22" i="12"/>
  <c r="G13" i="4"/>
  <c r="G7" i="4"/>
  <c r="I17" i="3"/>
  <c r="D15" i="4"/>
  <c r="C22" i="12"/>
  <c r="C14" i="4"/>
  <c r="G14" i="4"/>
  <c r="C30" i="4"/>
  <c r="G30" i="4"/>
  <c r="D35" i="3"/>
  <c r="D22" i="4"/>
  <c r="I24" i="3"/>
  <c r="D32" i="16"/>
  <c r="H18" i="3"/>
  <c r="J17" i="10"/>
  <c r="I33" i="3"/>
  <c r="D14" i="16"/>
  <c r="E25" i="4"/>
  <c r="I34" i="3"/>
  <c r="I23" i="3"/>
  <c r="I9" i="3"/>
  <c r="C17" i="4"/>
  <c r="D25" i="3"/>
  <c r="B6" i="14"/>
  <c r="C6" i="17"/>
  <c r="I27" i="3"/>
  <c r="D25" i="4"/>
  <c r="F29" i="3"/>
  <c r="J16" i="10"/>
  <c r="I14" i="3"/>
  <c r="F18" i="3"/>
  <c r="D26" i="4"/>
  <c r="I28" i="3"/>
  <c r="C15" i="4"/>
  <c r="G15" i="4"/>
  <c r="C22" i="13"/>
  <c r="C21" i="9"/>
  <c r="C10" i="4"/>
  <c r="G10" i="4"/>
  <c r="C25" i="4"/>
  <c r="D29" i="3"/>
  <c r="B6" i="17"/>
  <c r="C19" i="4"/>
  <c r="G19" i="4"/>
  <c r="C9" i="16"/>
  <c r="D17" i="4"/>
  <c r="F25" i="3"/>
  <c r="C6" i="14"/>
  <c r="F35" i="3"/>
  <c r="C21" i="4"/>
  <c r="G21" i="4"/>
  <c r="C24" i="16"/>
  <c r="C14" i="16"/>
  <c r="C20" i="4"/>
  <c r="G20" i="4"/>
  <c r="C4" i="15"/>
  <c r="D18" i="4"/>
  <c r="I20" i="3"/>
  <c r="I10" i="3"/>
  <c r="I38" i="3"/>
  <c r="I32" i="3"/>
  <c r="C8" i="4"/>
  <c r="G8" i="4"/>
  <c r="I26" i="3"/>
  <c r="F24" i="4"/>
  <c r="H24" i="4"/>
  <c r="C18" i="4"/>
  <c r="G18" i="4"/>
  <c r="B4" i="15"/>
  <c r="D4" i="15"/>
  <c r="E18" i="4"/>
  <c r="I8" i="3"/>
  <c r="F13" i="3"/>
  <c r="D10" i="4"/>
  <c r="I12" i="3"/>
  <c r="D21" i="9"/>
  <c r="D19" i="4"/>
  <c r="I21" i="3"/>
  <c r="K16" i="10"/>
  <c r="L17" i="10"/>
  <c r="M17" i="10"/>
  <c r="H16" i="10"/>
  <c r="D12" i="4"/>
  <c r="G12" i="4"/>
  <c r="I37" i="3"/>
  <c r="H31" i="4"/>
  <c r="E27" i="4"/>
  <c r="F19" i="4"/>
  <c r="H19" i="4"/>
  <c r="I35" i="3"/>
  <c r="F17" i="4"/>
  <c r="H13" i="4"/>
  <c r="F8" i="4"/>
  <c r="H8" i="4"/>
  <c r="C33" i="4"/>
  <c r="G33" i="4"/>
  <c r="E16" i="4"/>
  <c r="E23" i="4"/>
  <c r="I13" i="3"/>
  <c r="F22" i="4"/>
  <c r="H22" i="4"/>
  <c r="E33" i="4"/>
  <c r="F25" i="4"/>
  <c r="H25" i="4"/>
  <c r="C16" i="4"/>
  <c r="G16" i="4"/>
  <c r="I25" i="3"/>
  <c r="D27" i="4"/>
  <c r="D30" i="3"/>
  <c r="D45" i="3"/>
  <c r="F14" i="4"/>
  <c r="H14" i="4"/>
  <c r="F36" i="4"/>
  <c r="H36" i="4"/>
  <c r="H30" i="4"/>
  <c r="H7" i="4"/>
  <c r="D33" i="4"/>
  <c r="F9" i="4"/>
  <c r="H9" i="4"/>
  <c r="E11" i="4"/>
  <c r="F10" i="4"/>
  <c r="H10" i="4"/>
  <c r="I29" i="3"/>
  <c r="F6" i="4"/>
  <c r="H30" i="3"/>
  <c r="H31" i="3"/>
  <c r="H36" i="3"/>
  <c r="F15" i="4"/>
  <c r="H15" i="4"/>
  <c r="F21" i="4"/>
  <c r="H21" i="4"/>
  <c r="F26" i="4"/>
  <c r="H26" i="4"/>
  <c r="F35" i="4"/>
  <c r="H35" i="4"/>
  <c r="D11" i="4"/>
  <c r="H32" i="4"/>
  <c r="F20" i="4"/>
  <c r="H20" i="4"/>
  <c r="D23" i="4"/>
  <c r="G25" i="4"/>
  <c r="C27" i="4"/>
  <c r="G27" i="4"/>
  <c r="F30" i="3"/>
  <c r="F31" i="3"/>
  <c r="F36" i="3"/>
  <c r="F39" i="3"/>
  <c r="F43" i="3"/>
  <c r="I18" i="3"/>
  <c r="G17" i="4"/>
  <c r="C23" i="4"/>
  <c r="G23" i="4"/>
  <c r="C11" i="4"/>
  <c r="G11" i="4"/>
  <c r="M16" i="10"/>
  <c r="F18" i="4"/>
  <c r="H18" i="4"/>
  <c r="F12" i="4"/>
  <c r="D16" i="4"/>
  <c r="H17" i="4"/>
  <c r="D31" i="3"/>
  <c r="D36" i="3"/>
  <c r="D39" i="3"/>
  <c r="D43" i="3"/>
  <c r="E28" i="4"/>
  <c r="E29" i="4"/>
  <c r="E34" i="4"/>
  <c r="E37" i="4"/>
  <c r="E41" i="4"/>
  <c r="F23" i="4"/>
  <c r="H23" i="4"/>
  <c r="H33" i="4"/>
  <c r="C28" i="4"/>
  <c r="G28" i="4"/>
  <c r="F27" i="4"/>
  <c r="H27" i="4"/>
  <c r="D28" i="4"/>
  <c r="D29" i="4"/>
  <c r="D34" i="4"/>
  <c r="D37" i="4"/>
  <c r="D41" i="4"/>
  <c r="F11" i="4"/>
  <c r="H11" i="4"/>
  <c r="H6" i="4"/>
  <c r="I30" i="3"/>
  <c r="I31" i="3"/>
  <c r="F16" i="4"/>
  <c r="H12" i="4"/>
  <c r="H39" i="3"/>
  <c r="I36" i="3"/>
  <c r="C29" i="4"/>
  <c r="C34" i="4"/>
  <c r="F28" i="4"/>
  <c r="H16" i="4"/>
  <c r="H43" i="3"/>
  <c r="I43" i="3"/>
  <c r="I39" i="3"/>
  <c r="G29" i="4"/>
  <c r="C37" i="4"/>
  <c r="G34" i="4"/>
  <c r="H28" i="4"/>
  <c r="F29" i="4"/>
  <c r="H29" i="4"/>
  <c r="F34" i="4"/>
  <c r="C41" i="4"/>
  <c r="G41" i="4"/>
  <c r="G37" i="4"/>
  <c r="F37" i="4"/>
  <c r="H34" i="4"/>
  <c r="H37" i="4"/>
  <c r="F41" i="4"/>
  <c r="H41" i="4"/>
</calcChain>
</file>

<file path=xl/comments1.xml><?xml version="1.0" encoding="utf-8"?>
<comments xmlns="http://schemas.openxmlformats.org/spreadsheetml/2006/main">
  <authors>
    <author>Ole Mikkelsen</author>
  </authors>
  <commentList>
    <comment ref="F6" authorId="0">
      <text>
        <r>
          <rPr>
            <b/>
            <sz val="9"/>
            <color indexed="81"/>
            <rFont val="Helv"/>
          </rPr>
          <t>Ændring påvirker IKKE umiddelbart driftstilskuddet</t>
        </r>
      </text>
    </comment>
  </commentList>
</comments>
</file>

<file path=xl/sharedStrings.xml><?xml version="1.0" encoding="utf-8"?>
<sst xmlns="http://schemas.openxmlformats.org/spreadsheetml/2006/main" count="1018" uniqueCount="576">
  <si>
    <t>Resultat af børnehave-drift</t>
  </si>
  <si>
    <t>Børnehave-udgifter</t>
  </si>
  <si>
    <t>Børnehave-indtægter</t>
  </si>
  <si>
    <t>Likviditetsgrad [lin 43 / lin 47]</t>
  </si>
  <si>
    <t>Driftskapital [lin 43 – lin 47]</t>
  </si>
  <si>
    <t>LIKVIDITET:</t>
  </si>
  <si>
    <t>PASSIVER I ALT:</t>
  </si>
  <si>
    <t>GÆLD I ALT:</t>
  </si>
  <si>
    <t>Kortfristet gæld</t>
  </si>
  <si>
    <t>Langfristet gæld</t>
  </si>
  <si>
    <t>EGENKAPITAL 31/12</t>
  </si>
  <si>
    <t>AKTIVER I ALT:</t>
  </si>
  <si>
    <t>OMSÆTNINGSAKTIVER I ALT:</t>
  </si>
  <si>
    <t>Likvide beholdninger</t>
  </si>
  <si>
    <t>Værdipapirer</t>
  </si>
  <si>
    <t>Forudbetalte udgifter</t>
  </si>
  <si>
    <t>Tilgodehavender</t>
  </si>
  <si>
    <t>ANLÆGSAKTIVER I ALT:</t>
  </si>
  <si>
    <t>Finansielle anlægsaktiver</t>
  </si>
  <si>
    <t>Bus</t>
  </si>
  <si>
    <t>Inventar og udstyr, administration</t>
  </si>
  <si>
    <t>Inventar og udstyr, undervisning</t>
  </si>
  <si>
    <t>Ejendomme</t>
  </si>
  <si>
    <t>Ekstraordinære omkostninger</t>
  </si>
  <si>
    <t>Ekstraordinære indtægter</t>
  </si>
  <si>
    <t>RESULTAT før EKSTRAORD. POST.</t>
  </si>
  <si>
    <t xml:space="preserve">FINANSIELLE POSTER  I ALT: </t>
  </si>
  <si>
    <t>Renteudgifter excl. prioritetsrenter</t>
  </si>
  <si>
    <t>Prioritetsrenter</t>
  </si>
  <si>
    <t>Renteindtægter</t>
  </si>
  <si>
    <t>Løn administrativt personale</t>
  </si>
  <si>
    <t>KANTINEDRIFT</t>
  </si>
  <si>
    <t>Varme, el og rengøring</t>
  </si>
  <si>
    <t>Vedligeholdelse</t>
  </si>
  <si>
    <t>Skatter, afgifter og forsikring</t>
  </si>
  <si>
    <t>Løn</t>
  </si>
  <si>
    <t>Undervisningsudgifter</t>
  </si>
  <si>
    <t>Løn, skolefritidsordning</t>
  </si>
  <si>
    <t>Forældrebetaling, sfo</t>
  </si>
  <si>
    <t>Øvrige statstilskud</t>
  </si>
  <si>
    <t>Driftstilskud</t>
  </si>
  <si>
    <t>kr. pr. elev</t>
  </si>
  <si>
    <t>Totaltal</t>
  </si>
  <si>
    <t>Lin</t>
  </si>
  <si>
    <t>Bruttoetageareal</t>
  </si>
  <si>
    <t>100 - 149 elever, region 6</t>
  </si>
  <si>
    <t>50 - 99 elever, region 6</t>
  </si>
  <si>
    <t>0 - 49 elever, region 6</t>
  </si>
  <si>
    <t>100 - 149 elever, region 5</t>
  </si>
  <si>
    <t>50 - 99 elever, region 5</t>
  </si>
  <si>
    <t>0 - 49 elever, region 5</t>
  </si>
  <si>
    <t>100 - 149 elever, region 4</t>
  </si>
  <si>
    <t>50 - 99 elever, region 4</t>
  </si>
  <si>
    <t>0 - 49 elever, region 4</t>
  </si>
  <si>
    <t>100 - 149 elever, region 3</t>
  </si>
  <si>
    <t>50 - 99 elever, region 3</t>
  </si>
  <si>
    <t>0 - 49 elever, region 3</t>
  </si>
  <si>
    <t>100 - 149 elever, region 2</t>
  </si>
  <si>
    <t>50 - 99 elever, region 2</t>
  </si>
  <si>
    <t>0 - 49 elever, region 2</t>
  </si>
  <si>
    <t>100 - 149 elever, reg1on 1</t>
  </si>
  <si>
    <t>50 - 99 elever, region 1</t>
  </si>
  <si>
    <t>0 - 49 elever, region 1</t>
  </si>
  <si>
    <t>Angiv til venstre herfor, hvilken region jeres skole hører til!</t>
  </si>
  <si>
    <t>Region Nordjylland</t>
  </si>
  <si>
    <t>Region Midtjylland</t>
  </si>
  <si>
    <t>Sydjylland (del af Region Syddanmark)</t>
  </si>
  <si>
    <t>Fyn (del af Region Syddanmark)</t>
  </si>
  <si>
    <t>Region Sjælland</t>
  </si>
  <si>
    <t>Region Hovedstaden</t>
  </si>
  <si>
    <t>Elevtallet indtastes til venstre herfor!</t>
  </si>
  <si>
    <t>Der er dog én oplysning, som er af afgørende betydning, nemlig elevtallet. Af hensyn til tilskudsberegningen skal der skelnes mellem antallet af elever der er fyldt 13 år den 5. sep. og antallet af elever, der endnu ikke er så gamle. I første omgang skal det skønnede samlede elevtal, som I forventer pr. 5. sep., indtastes.</t>
  </si>
  <si>
    <t>Når der skal lægges budget for en nyoprettet friskole, er der af gode grunde meget få oplysninger at bygge forudsætningerne på.</t>
  </si>
  <si>
    <t>Hovedparametre</t>
  </si>
  <si>
    <t>Region</t>
  </si>
  <si>
    <t>Antal elever pr. 5. sep.</t>
  </si>
  <si>
    <t>f</t>
  </si>
  <si>
    <t>h</t>
  </si>
  <si>
    <t>j</t>
  </si>
  <si>
    <t>l</t>
  </si>
  <si>
    <t>n</t>
  </si>
  <si>
    <t>p</t>
  </si>
  <si>
    <t>r</t>
  </si>
  <si>
    <t>t</t>
  </si>
  <si>
    <t>v</t>
  </si>
  <si>
    <t>x</t>
  </si>
  <si>
    <t>z</t>
  </si>
  <si>
    <t>ab</t>
  </si>
  <si>
    <t>ad</t>
  </si>
  <si>
    <t>af</t>
  </si>
  <si>
    <t>al</t>
  </si>
  <si>
    <t>an</t>
  </si>
  <si>
    <t>ap</t>
  </si>
  <si>
    <t>ar</t>
  </si>
  <si>
    <t>at</t>
  </si>
  <si>
    <t>av</t>
  </si>
  <si>
    <t>ax</t>
  </si>
  <si>
    <t>kolonne</t>
  </si>
  <si>
    <t>reg str</t>
  </si>
  <si>
    <t>SAMLET RESULTAT</t>
  </si>
  <si>
    <t>Nødvendig kassekredit ved start (4 mdrs drift)</t>
  </si>
  <si>
    <t>DRIFTSTILSKUD fra staten</t>
  </si>
  <si>
    <t>5/12 heraf:</t>
  </si>
  <si>
    <t>overføres automatisk til arket 'Rev.budget'.</t>
  </si>
  <si>
    <t>Antal elever i alt:</t>
  </si>
  <si>
    <t>Kommune</t>
  </si>
  <si>
    <t>Stedtillægs-område</t>
  </si>
  <si>
    <t>København</t>
  </si>
  <si>
    <t>Frederiksberg</t>
  </si>
  <si>
    <t>Ballerup</t>
  </si>
  <si>
    <t>Brøndby</t>
  </si>
  <si>
    <t>Dragør</t>
  </si>
  <si>
    <t>Gentofte</t>
  </si>
  <si>
    <t>Gladsaxe</t>
  </si>
  <si>
    <t>Glostrup</t>
  </si>
  <si>
    <t>Herlev</t>
  </si>
  <si>
    <t>Albertslund</t>
  </si>
  <si>
    <t>Hvidovre</t>
  </si>
  <si>
    <t>Høje-Taastrup</t>
  </si>
  <si>
    <t>Lyngby-Taarbæk</t>
  </si>
  <si>
    <t>Rødovre</t>
  </si>
  <si>
    <t>Ishøj</t>
  </si>
  <si>
    <t>Tårnby</t>
  </si>
  <si>
    <t>Vallensbæk</t>
  </si>
  <si>
    <t>Furesø</t>
  </si>
  <si>
    <t>Allerød</t>
  </si>
  <si>
    <t>Fredensborg</t>
  </si>
  <si>
    <t>Helsingør</t>
  </si>
  <si>
    <t>Hillerød</t>
  </si>
  <si>
    <t>Hørsholm</t>
  </si>
  <si>
    <t>Rudersdal</t>
  </si>
  <si>
    <t>Egedal</t>
  </si>
  <si>
    <t>Frederikssund</t>
  </si>
  <si>
    <t>Greve</t>
  </si>
  <si>
    <t>Køge</t>
  </si>
  <si>
    <t>Frederiksværk-Hundested</t>
  </si>
  <si>
    <t>Roskilde</t>
  </si>
  <si>
    <t>Solrød</t>
  </si>
  <si>
    <t>Gribskov</t>
  </si>
  <si>
    <t>Odsherred</t>
  </si>
  <si>
    <t>Holbæk</t>
  </si>
  <si>
    <t>Faxe</t>
  </si>
  <si>
    <t>Kalundborg</t>
  </si>
  <si>
    <t>Ringsted</t>
  </si>
  <si>
    <t>Slagelse</t>
  </si>
  <si>
    <t>Stevns</t>
  </si>
  <si>
    <t>Sorø</t>
  </si>
  <si>
    <t>Lejre</t>
  </si>
  <si>
    <t>Lolland</t>
  </si>
  <si>
    <t>Næstved</t>
  </si>
  <si>
    <t>Guldborgsund</t>
  </si>
  <si>
    <t>Vordingborg</t>
  </si>
  <si>
    <t>Bornholm</t>
  </si>
  <si>
    <t>Middelfart</t>
  </si>
  <si>
    <t>Assens</t>
  </si>
  <si>
    <t>Faaborg-Midtfyn</t>
  </si>
  <si>
    <t>Kerteminde</t>
  </si>
  <si>
    <t>Nyborg</t>
  </si>
  <si>
    <t>Svendborg</t>
  </si>
  <si>
    <t>Bogense</t>
  </si>
  <si>
    <t>Langeland</t>
  </si>
  <si>
    <t>Ærø</t>
  </si>
  <si>
    <t>Haderslev</t>
  </si>
  <si>
    <t>Billund</t>
  </si>
  <si>
    <t>Sønderborg</t>
  </si>
  <si>
    <t>Tønder</t>
  </si>
  <si>
    <t>Esbjerg</t>
  </si>
  <si>
    <t>Fanø</t>
  </si>
  <si>
    <t>Varde</t>
  </si>
  <si>
    <t>Vejen</t>
  </si>
  <si>
    <t>Aabenraa</t>
  </si>
  <si>
    <t>Fredericia</t>
  </si>
  <si>
    <t>Horsens</t>
  </si>
  <si>
    <t>Kolding</t>
  </si>
  <si>
    <t>Vejle</t>
  </si>
  <si>
    <t>Herning</t>
  </si>
  <si>
    <t>Holstebro</t>
  </si>
  <si>
    <t>Lemvig</t>
  </si>
  <si>
    <t>Struer</t>
  </si>
  <si>
    <t>Syddjurs</t>
  </si>
  <si>
    <t>Norddjurs</t>
  </si>
  <si>
    <t>Favrskov</t>
  </si>
  <si>
    <t>Odder</t>
  </si>
  <si>
    <t>Randers</t>
  </si>
  <si>
    <t>Silkeborg</t>
  </si>
  <si>
    <t>Samsø</t>
  </si>
  <si>
    <t>Skanderborg</t>
  </si>
  <si>
    <t>Århus</t>
  </si>
  <si>
    <t>Ikast-Brande</t>
  </si>
  <si>
    <t>Ringkøbing-Skjern</t>
  </si>
  <si>
    <t>Hedensted</t>
  </si>
  <si>
    <t>Morsø</t>
  </si>
  <si>
    <t>Skive</t>
  </si>
  <si>
    <t>Thisted</t>
  </si>
  <si>
    <t>Viborg</t>
  </si>
  <si>
    <t>Brønderslev-Dronninglund</t>
  </si>
  <si>
    <t>Frederikshavn</t>
  </si>
  <si>
    <t>Vesthimmerland</t>
  </si>
  <si>
    <t>Læsø</t>
  </si>
  <si>
    <t>Rebild</t>
  </si>
  <si>
    <t>Mariagerfjord</t>
  </si>
  <si>
    <t>Jammerbugt</t>
  </si>
  <si>
    <t>Ålborg</t>
  </si>
  <si>
    <t>Hjørring</t>
  </si>
  <si>
    <t>Undervisningstaxameter for elever under 13 år</t>
  </si>
  <si>
    <t>Grundtilskud (højst for 40 elever)</t>
  </si>
  <si>
    <t>Fællesudgiftstaxameter 1-220 elever</t>
  </si>
  <si>
    <t xml:space="preserve">Fællesudgiftstaxameter 221 - </t>
  </si>
  <si>
    <t>Undervisningstaxameter for elever på 13 år og derover ex 10. kl.</t>
  </si>
  <si>
    <t>Undervisningstaxameter for 10. kl.-elever</t>
  </si>
  <si>
    <t>takst pr. elev</t>
  </si>
  <si>
    <t xml:space="preserve">Tilskud </t>
  </si>
  <si>
    <t>Hvilket stedtillægsområde er skolen beliggende i?
(Se oversigten her på arket i området E17:F114)</t>
  </si>
  <si>
    <t>overføres</t>
  </si>
  <si>
    <t>Øvrige statstilskud består af tilskud til SFO, bygninger og særtilskud.</t>
  </si>
  <si>
    <t>Bygningstilskud får skolen automatisk, fra den 1. januar efter antallet af elever i alt pr. 5. sep. året før.,</t>
  </si>
  <si>
    <t>SFOtilskud gives pr. skoleår efter antallet af tilskudsberettigede elever (0. - 3. kl.) pr. 5. sep.</t>
  </si>
  <si>
    <t>fremregnet takst</t>
  </si>
  <si>
    <t>SÆRTILSKUD til specialundervisning og undervisning  i ekstra dansk for 2-sprogede mv.</t>
  </si>
  <si>
    <t>Anledningen til at modtage særtilskud er under alle omstændigheder en underskudsforretning!</t>
  </si>
  <si>
    <t>Forskel til Råbudget</t>
  </si>
  <si>
    <t>SKOLEPENGEINDTÆGTER jan til juli</t>
  </si>
  <si>
    <t>A</t>
  </si>
  <si>
    <t>B</t>
  </si>
  <si>
    <t>C</t>
  </si>
  <si>
    <t>D</t>
  </si>
  <si>
    <t>E</t>
  </si>
  <si>
    <t>F</t>
  </si>
  <si>
    <t>G</t>
  </si>
  <si>
    <t>Barn nr. i fam.</t>
  </si>
  <si>
    <t>Skolepenge-sats pr. rate</t>
  </si>
  <si>
    <t>Moderation pr. rate</t>
  </si>
  <si>
    <t>Antal børn</t>
  </si>
  <si>
    <t>Antal  rater</t>
  </si>
  <si>
    <t>Skolepenge-indtægt
C x D x E</t>
  </si>
  <si>
    <t>Samlet moderation
B x D x E</t>
  </si>
  <si>
    <t>1.</t>
  </si>
  <si>
    <t>2.</t>
  </si>
  <si>
    <t>3.</t>
  </si>
  <si>
    <t>SUM:</t>
  </si>
  <si>
    <t>SKOLEPENGEINDTÆGTER aug til dec</t>
  </si>
  <si>
    <t>SFO-sats pr. rate</t>
  </si>
  <si>
    <t>Antal årlige rater</t>
  </si>
  <si>
    <t>SFO-indtægt
C x D x E</t>
  </si>
  <si>
    <t>Indtægter vedrørende SFO aug til dec</t>
  </si>
  <si>
    <t>Skolepenge netto-rate
A - B</t>
  </si>
  <si>
    <t>SFO netto-rate
A - B</t>
  </si>
  <si>
    <t>Elevtallene på dette ark er ikke nødvendigvis de samme som på de foregående sider!</t>
  </si>
  <si>
    <t>Indtægter vedrørende SFO jan til juli</t>
  </si>
  <si>
    <t>Elevtallene på dette ark er ikke nødvendigvis de samme som på arket '2.Øvrige Statstilskud'!</t>
  </si>
  <si>
    <t>Andre indtægter</t>
  </si>
  <si>
    <t>nr.</t>
  </si>
  <si>
    <t>Art</t>
  </si>
  <si>
    <t>Gaver og andre tilskud</t>
  </si>
  <si>
    <t>Betaling Friskolebladet 216 kr pr år/abb.</t>
  </si>
  <si>
    <t>Sponsorstøtte</t>
  </si>
  <si>
    <t xml:space="preserve">Kommunalt tilskud til støttetimer </t>
  </si>
  <si>
    <t>Kontingent skolekreds</t>
  </si>
  <si>
    <t>Tilskud fra Gavefonden</t>
  </si>
  <si>
    <t>Indtægter vedr. foredrag</t>
  </si>
  <si>
    <t>Lejeindtægter lokaler</t>
  </si>
  <si>
    <t>(Arrangementer, tiltag, sponsorer m.m.m.)</t>
  </si>
  <si>
    <t xml:space="preserve">Andre indtægter     </t>
  </si>
  <si>
    <t>Andre indtægter i alt</t>
  </si>
  <si>
    <t>Lærerlønninger er lidt omstændelige at beregne. Hvis I allerede ved, hvilke lærere I vil ansætte, kan I downloade særlige regneark til det formål fra vores hjemmeside.</t>
  </si>
  <si>
    <t>antal</t>
  </si>
  <si>
    <t>mdr.</t>
  </si>
  <si>
    <t>Lærerløn</t>
  </si>
  <si>
    <t>Skriv lederlønnen, som den forventes på årsbasis:</t>
  </si>
  <si>
    <t>under 100 elever</t>
  </si>
  <si>
    <t>minimum</t>
  </si>
  <si>
    <t>maksimum</t>
  </si>
  <si>
    <t>100-349 elever</t>
  </si>
  <si>
    <t>over 349 elever</t>
  </si>
  <si>
    <t>De gule felter herover er forududfyldt ihh. til de opgivne elevtal, men kan overskrives!</t>
  </si>
  <si>
    <t>inkl. pension</t>
  </si>
  <si>
    <t>Hvis fx skolelederen ansættes før 1. august, altså inden skolen reelt er startet, kan det være på konsulentbasis. I så fald: Skriv udgiften i arket '21,Admudg.'</t>
  </si>
  <si>
    <t>Der er ikke specifikke krav til fordelingen mellem uddannede og ikke uddannede, og der er heller ikke krav til minimum normering eller åbningstid.</t>
  </si>
  <si>
    <t>Dansk Friskoleforening har indgået aftale med BUPL om de ansattes vilkår. Skolen kan vælge at tegne overenskomst med BUPL på dette grundlag.</t>
  </si>
  <si>
    <t>I skolefritidsordningen (SFO) er personalet som regel uddannede pædagoger eller pædagogisk ansatte uden pædagogisk uddannelse.</t>
  </si>
  <si>
    <t>Antallet af børn er allerede indskrevet i arket '4.Forældrebetaling,SFO'.</t>
  </si>
  <si>
    <t>Antal SFO-børn</t>
  </si>
  <si>
    <t>Ugentlige åbningstid i skoleuger:</t>
  </si>
  <si>
    <t>Ugentlige åbningstid i undervisningsfri uger:</t>
  </si>
  <si>
    <t>Antal uger</t>
  </si>
  <si>
    <t>Normering = 1 ansat pr. antal børn:</t>
  </si>
  <si>
    <t>Norm.</t>
  </si>
  <si>
    <t>Timer /uge</t>
  </si>
  <si>
    <t>Hvis der er mindst 30 børn i SFOen, SKAL der være en daglig leder( afdelingsleder).</t>
  </si>
  <si>
    <t>begyndelsesløn</t>
  </si>
  <si>
    <t>slutløn</t>
  </si>
  <si>
    <t>Pæd. uddannet uden daglig ledelse, ca.:</t>
  </si>
  <si>
    <t>Ikke pæd. udd. uden daglig ledelse, ca.:</t>
  </si>
  <si>
    <t>Pæd. uddannet med daglig ledelse, ca.:</t>
  </si>
  <si>
    <t>Ikke pæd. udd. med daglig ledelse ca.:</t>
  </si>
  <si>
    <t>Afdelingsleder (uafhængig af udd.), ca.:</t>
  </si>
  <si>
    <t>Månedslønninger inkl. pension mv.</t>
  </si>
  <si>
    <t>årsværk</t>
  </si>
  <si>
    <t>gnsn. mdsløn</t>
  </si>
  <si>
    <t>Der regnes med et gennemsnit for hele perioden:</t>
  </si>
  <si>
    <t>Undervisningsudgifter er alt til brug for undervisningen udover lønnen.</t>
  </si>
  <si>
    <t>Det drejer sig om:</t>
  </si>
  <si>
    <t>fotokopiering</t>
  </si>
  <si>
    <t>lejrskoler og ekskursioner</t>
  </si>
  <si>
    <t>undervisningsmaterialer</t>
  </si>
  <si>
    <t>bøger, tidsskrifter mv.</t>
  </si>
  <si>
    <t>inventar og udstyr vedligeholdelse</t>
  </si>
  <si>
    <t>inventar og udstyr anskaffelse</t>
  </si>
  <si>
    <t>inventar og udstyr , leje, leasing</t>
  </si>
  <si>
    <t>befordringsudg. vedr. uv. inkl. bus</t>
  </si>
  <si>
    <t>minus tilskud til befordringsudg.</t>
  </si>
  <si>
    <t>afskrivning vedr. uv.</t>
  </si>
  <si>
    <t>vederlag til tilsynsførende</t>
  </si>
  <si>
    <t>Andre udgifter vedr. uv. i alt</t>
  </si>
  <si>
    <t>befordring melem skole og hjem</t>
  </si>
  <si>
    <t>Fordelingsudvalget i Slagelse giver tilskud til bef. mell. hjem og skole efter ansøgning.</t>
  </si>
  <si>
    <t>øvrige undervisningsudgifter</t>
  </si>
  <si>
    <t>efteruddannelse af lærere</t>
  </si>
  <si>
    <t>materialer</t>
  </si>
  <si>
    <t>afskrivning</t>
  </si>
  <si>
    <t>mad og drikkevarer</t>
  </si>
  <si>
    <t>øvrige omkostninger</t>
  </si>
  <si>
    <t>Løn, ejendom</t>
  </si>
  <si>
    <t>Pedel og rengøringspersonale.</t>
  </si>
  <si>
    <t>Nogle steder gør forældrene rent helt eller delvist.</t>
  </si>
  <si>
    <t>Råbudgettet regner med:</t>
  </si>
  <si>
    <t>Råbudgettet</t>
  </si>
  <si>
    <t>I alt</t>
  </si>
  <si>
    <t>pension beregnes automatisk</t>
  </si>
  <si>
    <t>råbudgettet</t>
  </si>
  <si>
    <t>Hvis skolen ikke selv ejer sine bygninger, må den leje dem.</t>
  </si>
  <si>
    <t>Løn til rengøringspersonale og pedeller ligger typisk mellem 22.000 og 28.500 for en fuldtidsansat inkl. pension.</t>
  </si>
  <si>
    <t>Råbudgettet regner med en lønudgift på:</t>
  </si>
  <si>
    <t>Jeres bud på løn til rengøring og pedel:</t>
  </si>
  <si>
    <t>Jeres bud på lokaleleje:</t>
  </si>
  <si>
    <t>5 mdr.</t>
  </si>
  <si>
    <t>7. mdr.</t>
  </si>
  <si>
    <t>Budgettet er et rent driftsbudget.</t>
  </si>
  <si>
    <t>ejendomsskat</t>
  </si>
  <si>
    <t>varme</t>
  </si>
  <si>
    <t>elektricitet</t>
  </si>
  <si>
    <t>vand</t>
  </si>
  <si>
    <t>rengøringsmidler</t>
  </si>
  <si>
    <t>rengøringsselskab</t>
  </si>
  <si>
    <t>vedligeholdelse</t>
  </si>
  <si>
    <t>andre ejendomsomkostninger</t>
  </si>
  <si>
    <t>Nogle kommuner opkræver ikke ejendomsskat af friskoler</t>
  </si>
  <si>
    <t>forsikringer</t>
  </si>
  <si>
    <t>afgifter herunder renovation</t>
  </si>
  <si>
    <t>Øvrige ejendomsudgifter</t>
  </si>
  <si>
    <t>skat, afgifter og forsikringer</t>
  </si>
  <si>
    <t>varme, el, vand, rengøring</t>
  </si>
  <si>
    <t>Afskrivning og øvrige ejend.udg.</t>
  </si>
  <si>
    <t>Kontakt fx forsikringsmæglerfirmaet Willis</t>
  </si>
  <si>
    <t>Sekretærløn:</t>
  </si>
  <si>
    <t>Løn til skolesekretærer ligger typisk mellem 24.000 og 32.000 for en fuldtidsansat inkl. pension.</t>
  </si>
  <si>
    <t>revision</t>
  </si>
  <si>
    <t>regnskabsmæssig assistance</t>
  </si>
  <si>
    <t>andre konsulentydelser</t>
  </si>
  <si>
    <t>tab på debitorer (skolepenge)</t>
  </si>
  <si>
    <t>vikarkassebidrag</t>
  </si>
  <si>
    <t>markedsføring</t>
  </si>
  <si>
    <t>kontorartikler, porto, tlf. mv.</t>
  </si>
  <si>
    <t>kontorinventar, vedligeholdelse</t>
  </si>
  <si>
    <t>kontorinventar, anskaffelse</t>
  </si>
  <si>
    <t>leje og leasing af inventar</t>
  </si>
  <si>
    <t>afskrivning vedr. adm.</t>
  </si>
  <si>
    <t>repræsentation</t>
  </si>
  <si>
    <t>lovpligtige afgifter vedr. personale</t>
  </si>
  <si>
    <t>videreuddannelse</t>
  </si>
  <si>
    <t>Benyt erfarent skolerevisionsfirma!</t>
  </si>
  <si>
    <t>Fordelingssekretariatet i Slagelse</t>
  </si>
  <si>
    <t>personaleudgifter</t>
  </si>
  <si>
    <t>Evt. skolelederassistance før skolestart</t>
  </si>
  <si>
    <t>Gule felter skal udfyldes her på arket, øvrige har særlige ark til specifikationer.</t>
  </si>
  <si>
    <t>*) Tilskud til børnehaver skal komme fra kommunerne.</t>
  </si>
  <si>
    <t>Hvis ikke, bilagsarkene er udfyldt, hentes tallene fra Råbudgettet</t>
  </si>
  <si>
    <t>Vi anbefaler, at I ikke budgetterer med andre særtilskud!</t>
  </si>
  <si>
    <t>SFO-udgifter er alt til brug for SFO udover lønnen.</t>
  </si>
  <si>
    <t>Administrationudgifter er alt udover lønnen.</t>
  </si>
  <si>
    <t>Minimum normering = 1 ansat pr. antal børn:</t>
  </si>
  <si>
    <t>Når der holdes ferie, skal der ske et fradrag i lønnen, hvis ikke man har optjent ret til løn i ferien.</t>
  </si>
  <si>
    <t>Lærernes ferie holdes de sidste 20 arbejdsdage af juli og de første 5 arbejdsdage i august.</t>
  </si>
  <si>
    <t>Der skal regnes med en feriepengeforpligtelse på 15% af al udbetalt løn pr. 31. dec.</t>
  </si>
  <si>
    <t>Den første uge af august er ferie for lærerne. De skal derfor ikke have løn i den periode fra skolens start.</t>
  </si>
  <si>
    <t>I juli måned holder lærerne 4 ugers ferie. Hvis de har været ansat fra 1. august året før, har de kun optjent ret til ca 10 dages løn i ferien. De skal derfor have lønfradrag for de sidste ca. 10 dage.
På samme måde skal de igen have lønfradrag for de 5 feriedage i august.</t>
  </si>
  <si>
    <t>Pr. 31. dec. skal feriepengeforpligtelsen reguleres for den øgede lønudgift i det forgangne år i forhold til året før (de 5 måneder). Forpligtelsen udgør 15% af forskellen.</t>
  </si>
  <si>
    <t>Jeres bud på løn til sekretær:</t>
  </si>
  <si>
    <t>minus</t>
  </si>
  <si>
    <t>plus</t>
  </si>
  <si>
    <t>I takt med at skolen udbetaler lønninger, øges gælden til personalet, svarende til 15% af lønnen. 
Det hedder 'feriepengeforpligtigelse' og kommer til udbetaling ved afvikling af ferie og ved fratræden.</t>
  </si>
  <si>
    <t>Lønsum til regnskabet</t>
  </si>
  <si>
    <t>Skolen kan også vælge at lade være, og fx følge specifikke regler fra aftalen. I det følgende benyttes aftalens regler.</t>
  </si>
  <si>
    <t>Hvis der oprettes en SFO uden daglig leder, anbefaler vi, at personalet består af uddannede pædagoger.</t>
  </si>
  <si>
    <t>Pæd. løn</t>
  </si>
  <si>
    <t>Feriefradrag og feriepengeforpligtelse</t>
  </si>
  <si>
    <t>Den foreslåede fremskrivning er baseret på skøn!</t>
  </si>
  <si>
    <t>resultat</t>
  </si>
  <si>
    <t>Antal skoler [antal børnehaver]</t>
  </si>
  <si>
    <t>Årselever pr. skole [børn pr. børnhave]</t>
  </si>
  <si>
    <t>Antal årselever [antal BH-børn]</t>
  </si>
  <si>
    <t>[0]</t>
  </si>
  <si>
    <t>[,]</t>
  </si>
  <si>
    <t>Skolepenge</t>
  </si>
  <si>
    <t xml:space="preserve">INDTÆGTER I ALT): </t>
  </si>
  <si>
    <t>Løn, undervisning</t>
  </si>
  <si>
    <t>sfo-udgifter samt BH mv.</t>
  </si>
  <si>
    <t xml:space="preserve">UNDERVISNING I ALT:  </t>
  </si>
  <si>
    <t>Lokaleleje</t>
  </si>
  <si>
    <t>Øvr. ejend.udg. herunder afskrivn.</t>
  </si>
  <si>
    <t xml:space="preserve">EJENDOMSDRIFT  I ALT: </t>
  </si>
  <si>
    <t>Administrationsudgifter</t>
  </si>
  <si>
    <t xml:space="preserve">ADMINISTRATION M.V.  I ALT:  </t>
  </si>
  <si>
    <t>DRIFTSOMKOSTNINGER:</t>
  </si>
  <si>
    <t xml:space="preserve">RESULTAT før FIN. POSTER:  </t>
  </si>
  <si>
    <t>ÅRETS RESULTAT:</t>
  </si>
  <si>
    <t>Børnehavebørn</t>
  </si>
  <si>
    <t>kr. pr. BH-barn</t>
  </si>
  <si>
    <t>Resultat af Vippeordnings-drift</t>
  </si>
  <si>
    <t>Summen af antallet af skoleleder, lærere og børnehaveklasseledere kan som tommelfingerregel budgetteres som ca en pr. 13 - 14 elever.</t>
  </si>
  <si>
    <t>150-199 elever, region 1</t>
  </si>
  <si>
    <t>over 200 elever, region 1</t>
  </si>
  <si>
    <t>150-199 elever, region 2</t>
  </si>
  <si>
    <t>over 200 elever, region 2</t>
  </si>
  <si>
    <t>150-199 elever, region 3</t>
  </si>
  <si>
    <t>over 200elever, region 3</t>
  </si>
  <si>
    <t>150-199 elever, region 4</t>
  </si>
  <si>
    <t>over 200 elever, region 4</t>
  </si>
  <si>
    <t>150-199 elever, region 5</t>
  </si>
  <si>
    <t>over 200 elever, region 6</t>
  </si>
  <si>
    <t>150-199 elever, region 6</t>
  </si>
  <si>
    <t>[1]</t>
  </si>
  <si>
    <t>[2]</t>
  </si>
  <si>
    <t>[6]</t>
  </si>
  <si>
    <t>[4]</t>
  </si>
  <si>
    <t>[5]</t>
  </si>
  <si>
    <t>[3]</t>
  </si>
  <si>
    <t>stør</t>
  </si>
  <si>
    <t>az</t>
  </si>
  <si>
    <t>bb</t>
  </si>
  <si>
    <t>bd</t>
  </si>
  <si>
    <t>bf</t>
  </si>
  <si>
    <t>bh</t>
  </si>
  <si>
    <t>bj</t>
  </si>
  <si>
    <t>aj</t>
  </si>
  <si>
    <t>Dansk Friskoleforenings (tidligere) regioner svarer til Danmarks officielle regionsopdeling, idet Region Syddanmark dog er opdelt i to, nemlig Fyn og Sydjylland.
Herunder er vore regioner nummererede:</t>
  </si>
  <si>
    <t>Tallene i "Råbudgettet" er de indberettede tal indhentet fra undervisningsministeriets regnskabsportal, som er renset for indtægter og udgifter vedrørende evt. børnehavedrift.</t>
  </si>
  <si>
    <t>Skolepenge (eksl. evt. børnehave)</t>
  </si>
  <si>
    <t>Andre indtægter (ekskl. evt. børnehave)</t>
  </si>
  <si>
    <t>INDTÆGTER I ALT(ekskl. evt. børnehave):</t>
  </si>
  <si>
    <t>Løn, undervisning (ekskl. evt. børnehave)</t>
  </si>
  <si>
    <t>sfo-udgifter (ekskl. evt. børnehave):</t>
  </si>
  <si>
    <t xml:space="preserve">UNDERVISNING I ALT(ekskl. evt. børnehave):  </t>
  </si>
  <si>
    <t>Lokaleleje (ekskl. evt. børnehave)</t>
  </si>
  <si>
    <t>Øvr. ejend.udg. herunder afskrivn. (ekskl. evt. børnehave)</t>
  </si>
  <si>
    <t xml:space="preserve">EJENDOMSDRIFT  I ALT (ekskl. evt. børnehave) </t>
  </si>
  <si>
    <t>Administrationsudgifter (ekskl. evt. børnehave)</t>
  </si>
  <si>
    <t xml:space="preserve">ADMINISTRATION M.V.  I ALT (ekskl. evt. børnehave):  </t>
  </si>
  <si>
    <t>DRIFTSOMKOSTNINGER (ekskl. evt. børnehave)</t>
  </si>
  <si>
    <t xml:space="preserve">RESULTAT (ekskl. Bh) før FIN. POSTER:  </t>
  </si>
  <si>
    <t>ÅRETS RESULTAT (ekskl. Bh)</t>
  </si>
  <si>
    <t>Skolepenge (ekskl. evt. børnehave)</t>
  </si>
  <si>
    <t>Vi anbefaler at skolerne som minimum udfylder fane 1-8  samt fane 22 med dagtilbudsbudget, såfremt der oprettes børnehave og/eller vuggestue.</t>
  </si>
  <si>
    <t>Børnehave</t>
  </si>
  <si>
    <t>Skal indtastes.</t>
  </si>
  <si>
    <t>Forplejning</t>
  </si>
  <si>
    <t>Oversigt</t>
  </si>
  <si>
    <t>Kommunalt tilskud pr. barn:</t>
  </si>
  <si>
    <t>Antal dage:</t>
  </si>
  <si>
    <t>Indtastes</t>
  </si>
  <si>
    <t>Bygningstilskud pr. barn</t>
  </si>
  <si>
    <t>Pris pr. dag:</t>
  </si>
  <si>
    <t>Administrationstilskud pr. barn</t>
  </si>
  <si>
    <t>Forplejning / barn / dag:</t>
  </si>
  <si>
    <t>Kommunalt tilskud i alt</t>
  </si>
  <si>
    <t>Forplejning / barn / år:</t>
  </si>
  <si>
    <t>Forældrebetaling pr. barn pr. år:</t>
  </si>
  <si>
    <t>Forplejning i alt:</t>
  </si>
  <si>
    <t>Private tilskud i alt (fx fra støtteforening)</t>
  </si>
  <si>
    <t>Madordning</t>
    <phoneticPr fontId="0" type="noConversion"/>
  </si>
  <si>
    <t>Indtægter forældrebetaling mv</t>
  </si>
  <si>
    <t>Antal børn:</t>
  </si>
  <si>
    <t>Antal børnpr. voksen (normering)</t>
  </si>
  <si>
    <t>Antal heltidsstillinger (normering)</t>
  </si>
  <si>
    <t>Indtægter i alt</t>
  </si>
  <si>
    <t>Vuggestue</t>
  </si>
  <si>
    <t>Forældrebetaling pr. barn pr.år:</t>
  </si>
  <si>
    <t>Indtægter:</t>
  </si>
  <si>
    <t>Kommunale tilskud</t>
  </si>
  <si>
    <t>Forældrebetaling</t>
  </si>
  <si>
    <t>Lønudgifter daginstitution</t>
  </si>
  <si>
    <t>Private tilskud</t>
  </si>
  <si>
    <t>Lønrefusioner vedr. daginstitution</t>
  </si>
  <si>
    <t>Lønafhængige omkostninger daginstitution</t>
  </si>
  <si>
    <t>Indtægter i alt:</t>
  </si>
  <si>
    <t>Lønomkostninger i alt</t>
  </si>
  <si>
    <t>Udgifter:</t>
  </si>
  <si>
    <t>Andre udgifter spec:</t>
  </si>
  <si>
    <t xml:space="preserve">Løn </t>
  </si>
  <si>
    <t>Lønafhængige omkostninger:</t>
  </si>
  <si>
    <t>Daglige aktiviteter</t>
  </si>
  <si>
    <t>Materialer</t>
  </si>
  <si>
    <t>Legetøj</t>
  </si>
  <si>
    <t>Kopimaskine</t>
  </si>
  <si>
    <t>Inventar og udstyr</t>
  </si>
  <si>
    <t>Ekskursioner</t>
  </si>
  <si>
    <t>Legeplads</t>
  </si>
  <si>
    <t>Prioritetsomkostninger</t>
  </si>
  <si>
    <t>Andre udgifter</t>
  </si>
  <si>
    <t>Udgifter i alt:</t>
  </si>
  <si>
    <t>Daglige aktiviteter i alt</t>
  </si>
  <si>
    <t xml:space="preserve">Årets resultat: </t>
  </si>
  <si>
    <t>Lokaler / Bygninger</t>
  </si>
  <si>
    <t>Husleje</t>
  </si>
  <si>
    <t>Skatter afgifter, renovation</t>
  </si>
  <si>
    <t>El, vand, varme</t>
  </si>
  <si>
    <t>Rengøring løn  -PAS PÅ med dobbeltløn!</t>
  </si>
  <si>
    <t>Rengøringsartikler</t>
  </si>
  <si>
    <t>Pedel løn -- Pas på med dobbeltløn!</t>
  </si>
  <si>
    <t>Bygningsforsikringer</t>
  </si>
  <si>
    <t>Afskrivninger bygninger</t>
  </si>
  <si>
    <t>Lokaler / Bygninger i alt</t>
  </si>
  <si>
    <t>Financielle poster</t>
  </si>
  <si>
    <t>Renteudgifter</t>
  </si>
  <si>
    <t>Forplejning spec:</t>
  </si>
  <si>
    <t>Grøntsager</t>
  </si>
  <si>
    <t>Frugt</t>
  </si>
  <si>
    <t>Forplejning i alt</t>
  </si>
  <si>
    <t>Personaleudgifter</t>
  </si>
  <si>
    <t>Kørselsgodtgørelse</t>
  </si>
  <si>
    <t>Kurser</t>
  </si>
  <si>
    <t>Efteruddannelse</t>
  </si>
  <si>
    <t>Vikarer</t>
  </si>
  <si>
    <t>Personaleudgifter i alt</t>
  </si>
  <si>
    <t>Administration</t>
  </si>
  <si>
    <t>Sekretær løn - PAS PÅ med dobbelt løn</t>
  </si>
  <si>
    <t>Edb/lønsystem</t>
  </si>
  <si>
    <t>Porto</t>
  </si>
  <si>
    <t>Telefon</t>
  </si>
  <si>
    <t>Annoncer</t>
  </si>
  <si>
    <t>Abonnementer</t>
  </si>
  <si>
    <t>Repræsentation</t>
  </si>
  <si>
    <t>Forsikringer ej bygninger</t>
  </si>
  <si>
    <t>Kontingent Dansk Friskoleforening</t>
  </si>
  <si>
    <t>Administration i alt</t>
  </si>
  <si>
    <t>Udgifter i alt</t>
  </si>
  <si>
    <t>Resultat daginstitution</t>
  </si>
  <si>
    <t>også kaldet 'FørSFO', 'FørSkole' eller 'Vippeordning'.</t>
  </si>
  <si>
    <t>aug-dec</t>
  </si>
  <si>
    <t>jan-dec</t>
  </si>
  <si>
    <t>Finansielle poster i alt</t>
  </si>
  <si>
    <t>Kommunalt tilskud pr. barn: (årlig takst)</t>
  </si>
  <si>
    <t>Bygningstilskud pr. barn (årlig takst)</t>
  </si>
  <si>
    <t>Administrationstilskud pr. barn (årlig takst)</t>
  </si>
  <si>
    <t>Lønudgifter(Se lønsatser i arket '8.Loen,SFO')</t>
  </si>
  <si>
    <t>Resultat af børnehave-drift *)</t>
  </si>
  <si>
    <t>Nogle kommuner giver tilskud til heltidsskolefritidsordninger.</t>
  </si>
  <si>
    <t>På kommunernes hjemmeside kan tilskudstakster pr. barn til private dagtilbud findes.</t>
  </si>
  <si>
    <t>til 'Budget'</t>
  </si>
  <si>
    <t>På næste ark 'Råbudget' ses alle hovedtal baseret på antallet af elever og geografisk placering af skolen.
Dette ark kan umiddelbart bruges som foreløbigt budget, men der er mulighed for at gå tættere på for udvalgte poster, ved at udfylde fanerne 1-21 med skolens egne forventede tal. Disse tal videreføres til fanen "Budget", og vil dermed være skolens eget budget.</t>
  </si>
  <si>
    <t>barsel.dk</t>
  </si>
  <si>
    <t>Råbudgettet regner med en udgift på:</t>
  </si>
  <si>
    <t>Prioritetsrenter(Indtastes som negativt beløb)</t>
  </si>
  <si>
    <r>
      <t>Renteudg. excl. Prioritetsrenter</t>
    </r>
    <r>
      <rPr>
        <sz val="9"/>
        <rFont val="Arial"/>
      </rPr>
      <t>(Indtastes som negativt beløb)</t>
    </r>
  </si>
  <si>
    <t>[8]</t>
  </si>
  <si>
    <t>[20]</t>
  </si>
  <si>
    <t>[7]</t>
  </si>
  <si>
    <t>[15]</t>
  </si>
  <si>
    <t>d</t>
  </si>
  <si>
    <t>Baseret på skoleregnskaber for 2016</t>
  </si>
  <si>
    <t>Regnskab 2016</t>
  </si>
  <si>
    <t>Når elevtallet er indtastet kan man se gennemsnitstal for samtlige hovedtal i regnskabet for regnskabsåret 2016 opdelt i friskoleforeningens regionsopdeling og efter 4 forskellige skolestørrelser.</t>
  </si>
  <si>
    <t>Der ydes et inklusionstilskud afhængig af elevantallet.</t>
  </si>
  <si>
    <t>Skoleaktier</t>
  </si>
  <si>
    <t>0-55 eleve=7.000,-. 56-109 elever=12.000,-. 110-219 elever=18.000,-. Over 220 elever=24.000,- pr. år.</t>
  </si>
  <si>
    <t>AER, Fleks-bidrag (ca. 9.000 kr. pr. årsværk)</t>
  </si>
</sst>
</file>

<file path=xl/styles.xml><?xml version="1.0" encoding="utf-8"?>
<styleSheet xmlns="http://schemas.openxmlformats.org/spreadsheetml/2006/main" xmlns:mc="http://schemas.openxmlformats.org/markup-compatibility/2006" xmlns:x14ac="http://schemas.microsoft.com/office/spreadsheetml/2009/9/ac" mc:Ignorable="x14ac">
  <numFmts count="15">
    <numFmt numFmtId="164" formatCode="_-* #,##0.00\ _k_r_-;\-* #,##0.00\ _k_r_-;_-* &quot;-&quot;??\ _k_r_-;_-@_-"/>
    <numFmt numFmtId="165" formatCode="#,##0.0"/>
    <numFmt numFmtId="166" formatCode="_(* #,##0.00_);_(* \(#,##0.00\);_(* &quot;-&quot;??_);_(@_)"/>
    <numFmt numFmtId="167" formatCode="_-* #,##0_-;\-* #,##0_-;_-* &quot;-&quot;_-;_-@_-"/>
    <numFmt numFmtId="168" formatCode="_(* #,##0_);_(* \(#,##0\);_(* &quot;-&quot;_);_(@_)"/>
    <numFmt numFmtId="169" formatCode="_-* #,##0.00_-;\-* #,##0.00_-;_-* &quot;-&quot;??_-;_-@_-"/>
    <numFmt numFmtId="170" formatCode="&quot;kr.&quot;#,##0;[Red]\-&quot;kr.&quot;#,##0"/>
    <numFmt numFmtId="171" formatCode="_-&quot;kr.&quot;* #,##0.00_-;\-&quot;kr.&quot;* #,##0.00_-;_-&quot;kr.&quot;* &quot;-&quot;??_-;_-@_-"/>
    <numFmt numFmtId="172" formatCode="#,##0.0000"/>
    <numFmt numFmtId="173" formatCode="#,##0.00&quot;kr.&quot;;\-#,##0.00&quot;kr.&quot;"/>
    <numFmt numFmtId="174" formatCode="0.0%"/>
    <numFmt numFmtId="175" formatCode="000\-000"/>
    <numFmt numFmtId="176" formatCode="_-* #,##0\ _k_r_-;\-* #,##0\ _k_r_-;_-* &quot;-&quot;??\ _k_r_-;_-@_-"/>
    <numFmt numFmtId="177" formatCode="0.0000"/>
    <numFmt numFmtId="178" formatCode="_-* #,##0.00000\ _k_r_-;\-* #,##0.00000\ _k_r_-;_-* &quot;-&quot;??\ _k_r_-;_-@_-"/>
  </numFmts>
  <fonts count="68" x14ac:knownFonts="1">
    <font>
      <sz val="10"/>
      <name val="Helv"/>
    </font>
    <font>
      <sz val="12"/>
      <color theme="1"/>
      <name val="Calibri"/>
      <family val="2"/>
      <scheme val="minor"/>
    </font>
    <font>
      <sz val="12"/>
      <color theme="1"/>
      <name val="Calibri"/>
      <family val="2"/>
      <scheme val="minor"/>
    </font>
    <font>
      <sz val="12"/>
      <color theme="1"/>
      <name val="Calibri"/>
      <family val="2"/>
      <scheme val="minor"/>
    </font>
    <font>
      <sz val="10"/>
      <name val="Helv"/>
    </font>
    <font>
      <sz val="12"/>
      <name val="Arial"/>
      <family val="2"/>
    </font>
    <font>
      <sz val="10"/>
      <name val="Geneva"/>
      <family val="2"/>
    </font>
    <font>
      <sz val="12"/>
      <name val="Helv"/>
    </font>
    <font>
      <sz val="14"/>
      <name val="Helv"/>
    </font>
    <font>
      <sz val="9"/>
      <name val="Helv"/>
    </font>
    <font>
      <sz val="12"/>
      <name val="System"/>
    </font>
    <font>
      <sz val="10"/>
      <name val="Courier"/>
      <charset val="178"/>
    </font>
    <font>
      <sz val="10"/>
      <name val="Arial"/>
    </font>
    <font>
      <u/>
      <sz val="10"/>
      <color theme="10"/>
      <name val="Helv"/>
    </font>
    <font>
      <u/>
      <sz val="10"/>
      <color theme="11"/>
      <name val="Helv"/>
    </font>
    <font>
      <b/>
      <sz val="10"/>
      <name val="Arial"/>
    </font>
    <font>
      <sz val="10"/>
      <color rgb="FF0000FF"/>
      <name val="Arial"/>
    </font>
    <font>
      <sz val="10"/>
      <color theme="7" tint="-0.249977111117893"/>
      <name val="Arial"/>
    </font>
    <font>
      <b/>
      <sz val="10"/>
      <color theme="7" tint="-0.249977111117893"/>
      <name val="Arial"/>
    </font>
    <font>
      <b/>
      <sz val="10"/>
      <color rgb="FF0000FF"/>
      <name val="Arial"/>
    </font>
    <font>
      <b/>
      <sz val="14"/>
      <color rgb="FFFF0000"/>
      <name val="Arial"/>
    </font>
    <font>
      <sz val="10"/>
      <color rgb="FFFF0000"/>
      <name val="Arial"/>
    </font>
    <font>
      <b/>
      <sz val="9"/>
      <color indexed="81"/>
      <name val="Helv"/>
    </font>
    <font>
      <sz val="12"/>
      <color indexed="8"/>
      <name val="Arial"/>
    </font>
    <font>
      <b/>
      <sz val="20"/>
      <name val="Arial"/>
    </font>
    <font>
      <sz val="10"/>
      <color indexed="12"/>
      <name val="Arial"/>
      <family val="2"/>
    </font>
    <font>
      <i/>
      <sz val="9"/>
      <name val="Helv"/>
    </font>
    <font>
      <b/>
      <i/>
      <sz val="9"/>
      <name val="Arial"/>
    </font>
    <font>
      <i/>
      <sz val="9"/>
      <color rgb="FF0000FF"/>
      <name val="Arial"/>
    </font>
    <font>
      <b/>
      <i/>
      <sz val="9"/>
      <color theme="7" tint="-0.249977111117893"/>
      <name val="Arial"/>
    </font>
    <font>
      <b/>
      <i/>
      <sz val="9"/>
      <color rgb="FF0000FF"/>
      <name val="Arial"/>
    </font>
    <font>
      <sz val="9"/>
      <name val="Arial"/>
    </font>
    <font>
      <i/>
      <sz val="9"/>
      <name val="Arial"/>
    </font>
    <font>
      <i/>
      <sz val="10"/>
      <name val="Arial"/>
    </font>
    <font>
      <u/>
      <sz val="10"/>
      <color theme="10"/>
      <name val="Arial"/>
    </font>
    <font>
      <b/>
      <sz val="14"/>
      <name val="Arial"/>
    </font>
    <font>
      <b/>
      <sz val="16"/>
      <color indexed="16"/>
      <name val="Arial"/>
    </font>
    <font>
      <sz val="10"/>
      <color indexed="17"/>
      <name val="Arial"/>
    </font>
    <font>
      <b/>
      <sz val="10"/>
      <color indexed="20"/>
      <name val="Arial"/>
    </font>
    <font>
      <sz val="10"/>
      <color indexed="16"/>
      <name val="Arial"/>
    </font>
    <font>
      <sz val="10"/>
      <color theme="0" tint="-0.34998626667073579"/>
      <name val="Arial"/>
    </font>
    <font>
      <i/>
      <u/>
      <sz val="10"/>
      <color theme="10"/>
      <name val="Arial"/>
    </font>
    <font>
      <b/>
      <sz val="9"/>
      <name val="Arial"/>
    </font>
    <font>
      <b/>
      <i/>
      <sz val="10"/>
      <color rgb="FFFF0000"/>
      <name val="Arial"/>
    </font>
    <font>
      <i/>
      <sz val="10"/>
      <color rgb="FFFF0000"/>
      <name val="Arial"/>
    </font>
    <font>
      <sz val="10"/>
      <color theme="0" tint="-4.9989318521683403E-2"/>
      <name val="Arial"/>
    </font>
    <font>
      <sz val="8"/>
      <name val="Helv"/>
    </font>
    <font>
      <sz val="10"/>
      <name val="Helvetica"/>
    </font>
    <font>
      <u/>
      <sz val="10"/>
      <name val="Helv"/>
    </font>
    <font>
      <sz val="10"/>
      <name val="Verdana"/>
    </font>
    <font>
      <sz val="10"/>
      <color theme="0" tint="-0.249977111117893"/>
      <name val="Arial"/>
    </font>
    <font>
      <b/>
      <i/>
      <sz val="10"/>
      <name val="Arial"/>
      <family val="2"/>
    </font>
    <font>
      <sz val="10"/>
      <color indexed="58"/>
      <name val="Arial"/>
      <family val="2"/>
    </font>
    <font>
      <sz val="10"/>
      <color indexed="18"/>
      <name val="Arial"/>
      <family val="2"/>
    </font>
    <font>
      <b/>
      <sz val="10"/>
      <color theme="3"/>
      <name val="Arial"/>
    </font>
    <font>
      <b/>
      <sz val="10"/>
      <color indexed="18"/>
      <name val="Arial"/>
      <family val="2"/>
    </font>
    <font>
      <b/>
      <sz val="10"/>
      <color indexed="16"/>
      <name val="Arial"/>
      <family val="2"/>
    </font>
    <font>
      <b/>
      <sz val="11"/>
      <color theme="0"/>
      <name val="Arial"/>
      <family val="2"/>
    </font>
    <font>
      <b/>
      <sz val="10"/>
      <color theme="0"/>
      <name val="Arial"/>
      <family val="2"/>
    </font>
    <font>
      <sz val="10"/>
      <color theme="0"/>
      <name val="Arial"/>
      <family val="2"/>
    </font>
    <font>
      <b/>
      <sz val="12"/>
      <color theme="0"/>
      <name val="Arial"/>
      <family val="2"/>
    </font>
    <font>
      <b/>
      <sz val="12"/>
      <color theme="1"/>
      <name val="Arial"/>
      <family val="2"/>
    </font>
    <font>
      <b/>
      <sz val="11"/>
      <color theme="1"/>
      <name val="Arial"/>
    </font>
    <font>
      <sz val="9"/>
      <color theme="3" tint="0.39997558519241921"/>
      <name val="Arial"/>
    </font>
    <font>
      <i/>
      <sz val="10"/>
      <name val="Helv"/>
    </font>
    <font>
      <b/>
      <sz val="10"/>
      <color theme="1"/>
      <name val="Arial"/>
    </font>
    <font>
      <sz val="10"/>
      <color theme="1"/>
      <name val="Arial"/>
    </font>
    <font>
      <sz val="10"/>
      <color indexed="17"/>
      <name val="Arial"/>
      <family val="2"/>
    </font>
  </fonts>
  <fills count="23">
    <fill>
      <patternFill patternType="none"/>
    </fill>
    <fill>
      <patternFill patternType="gray125"/>
    </fill>
    <fill>
      <patternFill patternType="gray0625"/>
    </fill>
    <fill>
      <patternFill patternType="lightGray"/>
    </fill>
    <fill>
      <patternFill patternType="solid">
        <fgColor rgb="FFFFFF00"/>
        <bgColor indexed="64"/>
      </patternFill>
    </fill>
    <fill>
      <patternFill patternType="solid">
        <fgColor theme="6" tint="0.39997558519241921"/>
        <bgColor indexed="64"/>
      </patternFill>
    </fill>
    <fill>
      <patternFill patternType="solid">
        <fgColor indexed="22"/>
        <bgColor indexed="64"/>
      </patternFill>
    </fill>
    <fill>
      <patternFill patternType="solid">
        <fgColor indexed="65"/>
        <bgColor indexed="64"/>
      </patternFill>
    </fill>
    <fill>
      <patternFill patternType="solid">
        <fgColor theme="0" tint="-0.14999847407452621"/>
        <bgColor indexed="64"/>
      </patternFill>
    </fill>
    <fill>
      <patternFill patternType="solid">
        <fgColor theme="6" tint="0.79998168889431442"/>
        <bgColor indexed="64"/>
      </patternFill>
    </fill>
    <fill>
      <patternFill patternType="solid">
        <fgColor theme="5" tint="0.79998168889431442"/>
        <bgColor indexed="64"/>
      </patternFill>
    </fill>
    <fill>
      <patternFill patternType="solid">
        <fgColor theme="0" tint="-0.14999847407452621"/>
        <bgColor indexed="22"/>
      </patternFill>
    </fill>
    <fill>
      <patternFill patternType="solid">
        <fgColor theme="0" tint="-0.14999847407452621"/>
        <bgColor indexed="26"/>
      </patternFill>
    </fill>
    <fill>
      <patternFill patternType="solid">
        <fgColor theme="0" tint="-0.14999847407452621"/>
        <bgColor indexed="27"/>
      </patternFill>
    </fill>
    <fill>
      <patternFill patternType="solid">
        <fgColor rgb="FFFFFF00"/>
        <bgColor indexed="26"/>
      </patternFill>
    </fill>
    <fill>
      <patternFill patternType="solid">
        <fgColor rgb="FFFFFF00"/>
        <bgColor indexed="27"/>
      </patternFill>
    </fill>
    <fill>
      <patternFill patternType="solid">
        <fgColor indexed="43"/>
        <bgColor indexed="26"/>
      </patternFill>
    </fill>
    <fill>
      <patternFill patternType="solid">
        <fgColor theme="1"/>
        <bgColor indexed="22"/>
      </patternFill>
    </fill>
    <fill>
      <patternFill patternType="solid">
        <fgColor theme="1"/>
        <bgColor indexed="26"/>
      </patternFill>
    </fill>
    <fill>
      <patternFill patternType="solid">
        <fgColor theme="0"/>
        <bgColor indexed="22"/>
      </patternFill>
    </fill>
    <fill>
      <patternFill patternType="solid">
        <fgColor theme="0"/>
        <bgColor indexed="26"/>
      </patternFill>
    </fill>
    <fill>
      <patternFill patternType="solid">
        <fgColor theme="1"/>
        <bgColor indexed="64"/>
      </patternFill>
    </fill>
    <fill>
      <patternFill patternType="solid">
        <fgColor theme="0" tint="-0.249977111117893"/>
        <bgColor indexed="64"/>
      </patternFill>
    </fill>
  </fills>
  <borders count="167">
    <border>
      <left/>
      <right/>
      <top/>
      <bottom/>
      <diagonal/>
    </border>
    <border>
      <left/>
      <right style="medium">
        <color auto="1"/>
      </right>
      <top style="thin">
        <color auto="1"/>
      </top>
      <bottom style="thin">
        <color auto="1"/>
      </bottom>
      <diagonal/>
    </border>
    <border>
      <left style="thin">
        <color auto="1"/>
      </left>
      <right/>
      <top style="thin">
        <color auto="1"/>
      </top>
      <bottom style="thin">
        <color auto="1"/>
      </bottom>
      <diagonal/>
    </border>
    <border>
      <left/>
      <right style="medium">
        <color auto="1"/>
      </right>
      <top/>
      <bottom/>
      <diagonal/>
    </border>
    <border>
      <left style="medium">
        <color auto="1"/>
      </left>
      <right/>
      <top/>
      <bottom/>
      <diagonal/>
    </border>
    <border>
      <left style="thin">
        <color auto="1"/>
      </left>
      <right/>
      <top/>
      <bottom/>
      <diagonal/>
    </border>
    <border>
      <left/>
      <right style="medium">
        <color auto="1"/>
      </right>
      <top style="thin">
        <color auto="1"/>
      </top>
      <bottom/>
      <diagonal/>
    </border>
    <border>
      <left style="thin">
        <color auto="1"/>
      </left>
      <right/>
      <top style="thin">
        <color auto="1"/>
      </top>
      <bottom/>
      <diagonal/>
    </border>
    <border>
      <left/>
      <right style="medium">
        <color auto="1"/>
      </right>
      <top/>
      <bottom style="thin">
        <color auto="1"/>
      </bottom>
      <diagonal/>
    </border>
    <border>
      <left style="medium">
        <color auto="1"/>
      </left>
      <right/>
      <top/>
      <bottom style="thin">
        <color auto="1"/>
      </bottom>
      <diagonal/>
    </border>
    <border>
      <left style="thin">
        <color auto="1"/>
      </left>
      <right/>
      <top/>
      <bottom style="thin">
        <color auto="1"/>
      </bottom>
      <diagonal/>
    </border>
    <border>
      <left/>
      <right style="thin">
        <color auto="1"/>
      </right>
      <top/>
      <bottom/>
      <diagonal/>
    </border>
    <border>
      <left/>
      <right style="thin">
        <color auto="1"/>
      </right>
      <top/>
      <bottom style="thin">
        <color auto="1"/>
      </bottom>
      <diagonal/>
    </border>
    <border>
      <left/>
      <right style="thin">
        <color auto="1"/>
      </right>
      <top style="thin">
        <color auto="1"/>
      </top>
      <bottom/>
      <diagonal/>
    </border>
    <border>
      <left/>
      <right style="hair">
        <color auto="1"/>
      </right>
      <top style="thin">
        <color auto="1"/>
      </top>
      <bottom style="thin">
        <color auto="1"/>
      </bottom>
      <diagonal/>
    </border>
    <border>
      <left/>
      <right/>
      <top style="medium">
        <color auto="1"/>
      </top>
      <bottom style="thin">
        <color auto="1"/>
      </bottom>
      <diagonal/>
    </border>
    <border>
      <left style="thin">
        <color auto="1"/>
      </left>
      <right style="thin">
        <color auto="1"/>
      </right>
      <top style="thin">
        <color auto="1"/>
      </top>
      <bottom style="thin">
        <color auto="1"/>
      </bottom>
      <diagonal/>
    </border>
    <border>
      <left/>
      <right/>
      <top/>
      <bottom style="thin">
        <color auto="1"/>
      </bottom>
      <diagonal/>
    </border>
    <border>
      <left/>
      <right/>
      <top style="thin">
        <color auto="1"/>
      </top>
      <bottom/>
      <diagonal/>
    </border>
    <border>
      <left/>
      <right/>
      <top style="thin">
        <color auto="1"/>
      </top>
      <bottom style="thin">
        <color auto="1"/>
      </bottom>
      <diagonal/>
    </border>
    <border>
      <left style="thin">
        <color auto="1"/>
      </left>
      <right style="thin">
        <color auto="1"/>
      </right>
      <top/>
      <bottom/>
      <diagonal/>
    </border>
    <border>
      <left style="thin">
        <color auto="1"/>
      </left>
      <right style="thin">
        <color auto="1"/>
      </right>
      <top/>
      <bottom style="thin">
        <color auto="1"/>
      </bottom>
      <diagonal/>
    </border>
    <border>
      <left style="medium">
        <color auto="1"/>
      </left>
      <right style="thin">
        <color auto="1"/>
      </right>
      <top/>
      <bottom style="thin">
        <color auto="1"/>
      </bottom>
      <diagonal/>
    </border>
    <border>
      <left style="medium">
        <color auto="1"/>
      </left>
      <right style="thin">
        <color auto="1"/>
      </right>
      <top/>
      <bottom/>
      <diagonal/>
    </border>
    <border>
      <left style="medium">
        <color auto="1"/>
      </left>
      <right style="thin">
        <color auto="1"/>
      </right>
      <top style="thin">
        <color auto="1"/>
      </top>
      <bottom style="thin">
        <color auto="1"/>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
        <color auto="1"/>
      </left>
      <right style="medium">
        <color auto="1"/>
      </right>
      <top style="thin">
        <color auto="1"/>
      </top>
      <bottom style="thin">
        <color auto="1"/>
      </bottom>
      <diagonal/>
    </border>
    <border>
      <left style="thick">
        <color auto="1"/>
      </left>
      <right/>
      <top style="thick">
        <color auto="1"/>
      </top>
      <bottom/>
      <diagonal/>
    </border>
    <border>
      <left style="thick">
        <color auto="1"/>
      </left>
      <right style="thin">
        <color auto="1"/>
      </right>
      <top style="thin">
        <color auto="1"/>
      </top>
      <bottom style="thin">
        <color auto="1"/>
      </bottom>
      <diagonal/>
    </border>
    <border>
      <left style="thick">
        <color auto="1"/>
      </left>
      <right style="thin">
        <color auto="1"/>
      </right>
      <top style="thin">
        <color auto="1"/>
      </top>
      <bottom style="thick">
        <color auto="1"/>
      </bottom>
      <diagonal/>
    </border>
    <border>
      <left/>
      <right style="thick">
        <color auto="1"/>
      </right>
      <top style="thin">
        <color auto="1"/>
      </top>
      <bottom style="thin">
        <color auto="1"/>
      </bottom>
      <diagonal/>
    </border>
    <border>
      <left/>
      <right style="thick">
        <color auto="1"/>
      </right>
      <top style="thin">
        <color auto="1"/>
      </top>
      <bottom style="thick">
        <color auto="1"/>
      </bottom>
      <diagonal/>
    </border>
    <border>
      <left style="thin">
        <color auto="1"/>
      </left>
      <right style="thick">
        <color auto="1"/>
      </right>
      <top style="thick">
        <color auto="1"/>
      </top>
      <bottom style="thin">
        <color auto="1"/>
      </bottom>
      <diagonal/>
    </border>
    <border>
      <left style="medium">
        <color auto="1"/>
      </left>
      <right style="thin">
        <color auto="1"/>
      </right>
      <top style="medium">
        <color auto="1"/>
      </top>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medium">
        <color auto="1"/>
      </left>
      <right style="hair">
        <color auto="1"/>
      </right>
      <top style="hair">
        <color auto="1"/>
      </top>
      <bottom style="hair">
        <color auto="1"/>
      </bottom>
      <diagonal/>
    </border>
    <border>
      <left style="thin">
        <color auto="1"/>
      </left>
      <right style="hair">
        <color auto="1"/>
      </right>
      <top style="thin">
        <color auto="1"/>
      </top>
      <bottom style="hair">
        <color auto="1"/>
      </bottom>
      <diagonal/>
    </border>
    <border>
      <left style="hair">
        <color auto="1"/>
      </left>
      <right style="hair">
        <color auto="1"/>
      </right>
      <top style="thin">
        <color auto="1"/>
      </top>
      <bottom style="hair">
        <color auto="1"/>
      </bottom>
      <diagonal/>
    </border>
    <border>
      <left style="hair">
        <color auto="1"/>
      </left>
      <right style="thin">
        <color auto="1"/>
      </right>
      <top style="thin">
        <color auto="1"/>
      </top>
      <bottom style="hair">
        <color auto="1"/>
      </bottom>
      <diagonal/>
    </border>
    <border>
      <left style="thin">
        <color auto="1"/>
      </left>
      <right style="thin">
        <color auto="1"/>
      </right>
      <top style="hair">
        <color auto="1"/>
      </top>
      <bottom style="hair">
        <color auto="1"/>
      </bottom>
      <diagonal/>
    </border>
    <border>
      <left style="thin">
        <color auto="1"/>
      </left>
      <right style="medium">
        <color auto="1"/>
      </right>
      <top style="hair">
        <color auto="1"/>
      </top>
      <bottom style="hair">
        <color auto="1"/>
      </bottom>
      <diagonal/>
    </border>
    <border>
      <left style="thin">
        <color auto="1"/>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hair">
        <color auto="1"/>
      </left>
      <right style="thin">
        <color auto="1"/>
      </right>
      <top style="hair">
        <color auto="1"/>
      </top>
      <bottom style="hair">
        <color auto="1"/>
      </bottom>
      <diagonal/>
    </border>
    <border>
      <left/>
      <right style="hair">
        <color auto="1"/>
      </right>
      <top style="hair">
        <color auto="1"/>
      </top>
      <bottom style="thin">
        <color auto="1"/>
      </bottom>
      <diagonal/>
    </border>
    <border>
      <left style="hair">
        <color auto="1"/>
      </left>
      <right style="hair">
        <color auto="1"/>
      </right>
      <top style="hair">
        <color auto="1"/>
      </top>
      <bottom style="thin">
        <color auto="1"/>
      </bottom>
      <diagonal/>
    </border>
    <border>
      <left style="thin">
        <color auto="1"/>
      </left>
      <right style="thin">
        <color auto="1"/>
      </right>
      <top style="hair">
        <color auto="1"/>
      </top>
      <bottom style="thin">
        <color auto="1"/>
      </bottom>
      <diagonal/>
    </border>
    <border>
      <left style="thin">
        <color auto="1"/>
      </left>
      <right style="medium">
        <color auto="1"/>
      </right>
      <top style="hair">
        <color auto="1"/>
      </top>
      <bottom style="thin">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right style="hair">
        <color auto="1"/>
      </right>
      <top style="hair">
        <color auto="1"/>
      </top>
      <bottom style="hair">
        <color auto="1"/>
      </bottom>
      <diagonal/>
    </border>
    <border>
      <left style="thin">
        <color auto="1"/>
      </left>
      <right style="thin">
        <color auto="1"/>
      </right>
      <top/>
      <bottom style="medium">
        <color auto="1"/>
      </bottom>
      <diagonal/>
    </border>
    <border>
      <left style="medium">
        <color auto="1"/>
      </left>
      <right style="medium">
        <color auto="1"/>
      </right>
      <top style="medium">
        <color auto="1"/>
      </top>
      <bottom style="medium">
        <color auto="1"/>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thin">
        <color auto="1"/>
      </right>
      <top style="thin">
        <color auto="1"/>
      </top>
      <bottom style="medium">
        <color auto="1"/>
      </bottom>
      <diagonal/>
    </border>
    <border>
      <left style="medium">
        <color auto="1"/>
      </left>
      <right style="hair">
        <color auto="1"/>
      </right>
      <top style="hair">
        <color auto="1"/>
      </top>
      <bottom/>
      <diagonal/>
    </border>
    <border>
      <left style="thin">
        <color auto="1"/>
      </left>
      <right style="hair">
        <color auto="1"/>
      </right>
      <top style="hair">
        <color auto="1"/>
      </top>
      <bottom/>
      <diagonal/>
    </border>
    <border>
      <left style="hair">
        <color auto="1"/>
      </left>
      <right style="hair">
        <color auto="1"/>
      </right>
      <top style="hair">
        <color auto="1"/>
      </top>
      <bottom/>
      <diagonal/>
    </border>
    <border>
      <left style="hair">
        <color auto="1"/>
      </left>
      <right style="thin">
        <color auto="1"/>
      </right>
      <top style="hair">
        <color auto="1"/>
      </top>
      <bottom/>
      <diagonal/>
    </border>
    <border>
      <left style="medium">
        <color auto="1"/>
      </left>
      <right style="thin">
        <color auto="1"/>
      </right>
      <top style="medium">
        <color auto="1"/>
      </top>
      <bottom style="thin">
        <color auto="1"/>
      </bottom>
      <diagonal/>
    </border>
    <border>
      <left style="thin">
        <color auto="1"/>
      </left>
      <right/>
      <top style="medium">
        <color auto="1"/>
      </top>
      <bottom style="thin">
        <color auto="1"/>
      </bottom>
      <diagonal/>
    </border>
    <border>
      <left style="medium">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thin">
        <color auto="1"/>
      </left>
      <right/>
      <top style="hair">
        <color auto="1"/>
      </top>
      <bottom style="hair">
        <color auto="1"/>
      </bottom>
      <diagonal/>
    </border>
    <border>
      <left style="medium">
        <color auto="1"/>
      </left>
      <right style="hair">
        <color auto="1"/>
      </right>
      <top style="medium">
        <color auto="1"/>
      </top>
      <bottom style="hair">
        <color auto="1"/>
      </bottom>
      <diagonal/>
    </border>
    <border>
      <left style="hair">
        <color auto="1"/>
      </left>
      <right style="medium">
        <color auto="1"/>
      </right>
      <top style="medium">
        <color auto="1"/>
      </top>
      <bottom style="hair">
        <color auto="1"/>
      </bottom>
      <diagonal/>
    </border>
    <border>
      <left style="medium">
        <color auto="1"/>
      </left>
      <right style="hair">
        <color auto="1"/>
      </right>
      <top/>
      <bottom style="hair">
        <color auto="1"/>
      </bottom>
      <diagonal/>
    </border>
    <border>
      <left style="hair">
        <color auto="1"/>
      </left>
      <right style="medium">
        <color auto="1"/>
      </right>
      <top style="hair">
        <color auto="1"/>
      </top>
      <bottom style="hair">
        <color auto="1"/>
      </bottom>
      <diagonal/>
    </border>
    <border>
      <left style="medium">
        <color auto="1"/>
      </left>
      <right style="hair">
        <color auto="1"/>
      </right>
      <top style="thin">
        <color auto="1"/>
      </top>
      <bottom style="medium">
        <color auto="1"/>
      </bottom>
      <diagonal/>
    </border>
    <border>
      <left style="thin">
        <color auto="1"/>
      </left>
      <right/>
      <top style="thin">
        <color auto="1"/>
      </top>
      <bottom style="medium">
        <color auto="1"/>
      </bottom>
      <diagonal/>
    </border>
    <border>
      <left style="medium">
        <color auto="1"/>
      </left>
      <right/>
      <top style="medium">
        <color auto="1"/>
      </top>
      <bottom style="medium">
        <color auto="1"/>
      </bottom>
      <diagonal/>
    </border>
    <border>
      <left/>
      <right/>
      <top style="hair">
        <color auto="1"/>
      </top>
      <bottom style="hair">
        <color auto="1"/>
      </bottom>
      <diagonal/>
    </border>
    <border>
      <left/>
      <right style="thin">
        <color auto="1"/>
      </right>
      <top style="hair">
        <color auto="1"/>
      </top>
      <bottom style="hair">
        <color auto="1"/>
      </bottom>
      <diagonal/>
    </border>
    <border>
      <left style="medium">
        <color auto="1"/>
      </left>
      <right style="hair">
        <color auto="1"/>
      </right>
      <top style="hair">
        <color auto="1"/>
      </top>
      <bottom style="medium">
        <color auto="1"/>
      </bottom>
      <diagonal/>
    </border>
    <border>
      <left style="thin">
        <color auto="1"/>
      </left>
      <right/>
      <top style="hair">
        <color auto="1"/>
      </top>
      <bottom style="medium">
        <color auto="1"/>
      </bottom>
      <diagonal/>
    </border>
    <border>
      <left style="hair">
        <color auto="1"/>
      </left>
      <right style="medium">
        <color auto="1"/>
      </right>
      <top style="hair">
        <color auto="1"/>
      </top>
      <bottom style="medium">
        <color auto="1"/>
      </bottom>
      <diagonal/>
    </border>
    <border>
      <left style="thin">
        <color auto="1"/>
      </left>
      <right/>
      <top/>
      <bottom style="hair">
        <color auto="1"/>
      </bottom>
      <diagonal/>
    </border>
    <border>
      <left/>
      <right/>
      <top/>
      <bottom style="hair">
        <color auto="1"/>
      </bottom>
      <diagonal/>
    </border>
    <border>
      <left style="medium">
        <color auto="1"/>
      </left>
      <right style="medium">
        <color auto="1"/>
      </right>
      <top/>
      <bottom style="hair">
        <color auto="1"/>
      </bottom>
      <diagonal/>
    </border>
    <border>
      <left style="medium">
        <color auto="1"/>
      </left>
      <right style="thin">
        <color auto="1"/>
      </right>
      <top/>
      <bottom style="hair">
        <color auto="1"/>
      </bottom>
      <diagonal/>
    </border>
    <border>
      <left style="medium">
        <color auto="1"/>
      </left>
      <right/>
      <top/>
      <bottom style="hair">
        <color auto="1"/>
      </bottom>
      <diagonal/>
    </border>
    <border>
      <left style="medium">
        <color auto="1"/>
      </left>
      <right style="medium">
        <color auto="1"/>
      </right>
      <top style="hair">
        <color auto="1"/>
      </top>
      <bottom style="hair">
        <color auto="1"/>
      </bottom>
      <diagonal/>
    </border>
    <border>
      <left style="medium">
        <color auto="1"/>
      </left>
      <right style="thin">
        <color auto="1"/>
      </right>
      <top style="hair">
        <color auto="1"/>
      </top>
      <bottom style="hair">
        <color auto="1"/>
      </bottom>
      <diagonal/>
    </border>
    <border>
      <left style="thin">
        <color auto="1"/>
      </left>
      <right/>
      <top/>
      <bottom style="medium">
        <color auto="1"/>
      </bottom>
      <diagonal/>
    </border>
    <border>
      <left/>
      <right style="medium">
        <color auto="1"/>
      </right>
      <top/>
      <bottom style="medium">
        <color auto="1"/>
      </bottom>
      <diagonal/>
    </border>
    <border>
      <left style="medium">
        <color indexed="8"/>
      </left>
      <right/>
      <top style="thin">
        <color auto="1"/>
      </top>
      <bottom/>
      <diagonal/>
    </border>
    <border>
      <left style="medium">
        <color auto="1"/>
      </left>
      <right/>
      <top style="thin">
        <color auto="1"/>
      </top>
      <bottom style="thin">
        <color auto="1"/>
      </bottom>
      <diagonal/>
    </border>
    <border>
      <left style="medium">
        <color auto="1"/>
      </left>
      <right/>
      <top/>
      <bottom style="medium">
        <color auto="1"/>
      </bottom>
      <diagonal/>
    </border>
    <border>
      <left style="medium">
        <color auto="1"/>
      </left>
      <right/>
      <top style="thin">
        <color auto="1"/>
      </top>
      <bottom/>
      <diagonal/>
    </border>
    <border>
      <left style="medium">
        <color auto="1"/>
      </left>
      <right/>
      <top style="medium">
        <color auto="1"/>
      </top>
      <bottom style="thin">
        <color auto="1"/>
      </bottom>
      <diagonal/>
    </border>
    <border>
      <left/>
      <right style="thin">
        <color auto="1"/>
      </right>
      <top style="medium">
        <color auto="1"/>
      </top>
      <bottom style="thin">
        <color auto="1"/>
      </bottom>
      <diagonal/>
    </border>
    <border>
      <left/>
      <right/>
      <top style="medium">
        <color auto="1"/>
      </top>
      <bottom style="thin">
        <color indexed="8"/>
      </bottom>
      <diagonal/>
    </border>
    <border>
      <left style="thin">
        <color indexed="8"/>
      </left>
      <right style="thin">
        <color indexed="8"/>
      </right>
      <top style="medium">
        <color auto="1"/>
      </top>
      <bottom style="thin">
        <color indexed="8"/>
      </bottom>
      <diagonal/>
    </border>
    <border>
      <left style="medium">
        <color auto="1"/>
      </left>
      <right/>
      <top style="medium">
        <color auto="1"/>
      </top>
      <bottom/>
      <diagonal/>
    </border>
    <border>
      <left/>
      <right/>
      <top style="medium">
        <color auto="1"/>
      </top>
      <bottom/>
      <diagonal/>
    </border>
    <border>
      <left style="thin">
        <color auto="1"/>
      </left>
      <right/>
      <top style="medium">
        <color auto="1"/>
      </top>
      <bottom/>
      <diagonal/>
    </border>
    <border>
      <left/>
      <right style="medium">
        <color auto="1"/>
      </right>
      <top style="medium">
        <color auto="1"/>
      </top>
      <bottom/>
      <diagonal/>
    </border>
    <border>
      <left style="medium">
        <color auto="1"/>
      </left>
      <right style="thin">
        <color indexed="8"/>
      </right>
      <top/>
      <bottom/>
      <diagonal/>
    </border>
    <border>
      <left style="thin">
        <color indexed="8"/>
      </left>
      <right style="thin">
        <color indexed="8"/>
      </right>
      <top/>
      <bottom/>
      <diagonal/>
    </border>
    <border>
      <left style="thin">
        <color indexed="8"/>
      </left>
      <right style="thin">
        <color indexed="8"/>
      </right>
      <top style="thin">
        <color indexed="8"/>
      </top>
      <bottom/>
      <diagonal/>
    </border>
    <border>
      <left style="thin">
        <color indexed="8"/>
      </left>
      <right style="medium">
        <color auto="1"/>
      </right>
      <top style="thin">
        <color indexed="8"/>
      </top>
      <bottom style="thin">
        <color indexed="8"/>
      </bottom>
      <diagonal/>
    </border>
    <border>
      <left style="thin">
        <color auto="1"/>
      </left>
      <right style="thin">
        <color indexed="8"/>
      </right>
      <top style="thin">
        <color indexed="8"/>
      </top>
      <bottom style="thin">
        <color indexed="8"/>
      </bottom>
      <diagonal/>
    </border>
    <border>
      <left/>
      <right style="thin">
        <color auto="1"/>
      </right>
      <top style="thin">
        <color auto="1"/>
      </top>
      <bottom style="thin">
        <color auto="1"/>
      </bottom>
      <diagonal/>
    </border>
    <border>
      <left/>
      <right style="thin">
        <color indexed="8"/>
      </right>
      <top style="thin">
        <color indexed="8"/>
      </top>
      <bottom style="thin">
        <color indexed="8"/>
      </bottom>
      <diagonal/>
    </border>
    <border>
      <left/>
      <right style="thin">
        <color indexed="8"/>
      </right>
      <top style="thin">
        <color indexed="8"/>
      </top>
      <bottom/>
      <diagonal/>
    </border>
    <border>
      <left style="medium">
        <color auto="1"/>
      </left>
      <right/>
      <top/>
      <bottom style="thin">
        <color indexed="8"/>
      </bottom>
      <diagonal/>
    </border>
    <border>
      <left/>
      <right/>
      <top/>
      <bottom style="thin">
        <color indexed="8"/>
      </bottom>
      <diagonal/>
    </border>
    <border>
      <left/>
      <right style="medium">
        <color auto="1"/>
      </right>
      <top/>
      <bottom style="thin">
        <color indexed="8"/>
      </bottom>
      <diagonal/>
    </border>
    <border>
      <left style="thin">
        <color indexed="8"/>
      </left>
      <right/>
      <top/>
      <bottom/>
      <diagonal/>
    </border>
    <border>
      <left/>
      <right/>
      <top style="thin">
        <color indexed="8"/>
      </top>
      <bottom style="thin">
        <color indexed="8"/>
      </bottom>
      <diagonal/>
    </border>
    <border>
      <left/>
      <right/>
      <top/>
      <bottom style="medium">
        <color auto="1"/>
      </bottom>
      <diagonal/>
    </border>
    <border>
      <left style="thin">
        <color auto="1"/>
      </left>
      <right style="thin">
        <color indexed="8"/>
      </right>
      <top/>
      <bottom style="medium">
        <color auto="1"/>
      </bottom>
      <diagonal/>
    </border>
    <border>
      <left/>
      <right style="thin">
        <color indexed="8"/>
      </right>
      <top/>
      <bottom style="thin">
        <color indexed="8"/>
      </bottom>
      <diagonal/>
    </border>
    <border>
      <left style="thin">
        <color indexed="8"/>
      </left>
      <right style="medium">
        <color auto="1"/>
      </right>
      <top/>
      <bottom style="thin">
        <color indexed="8"/>
      </bottom>
      <diagonal/>
    </border>
    <border>
      <left style="thin">
        <color indexed="8"/>
      </left>
      <right style="thin">
        <color indexed="8"/>
      </right>
      <top style="thin">
        <color indexed="8"/>
      </top>
      <bottom style="thin">
        <color indexed="8"/>
      </bottom>
      <diagonal/>
    </border>
    <border>
      <left style="medium">
        <color auto="1"/>
      </left>
      <right/>
      <top style="thin">
        <color indexed="8"/>
      </top>
      <bottom style="thin">
        <color indexed="8"/>
      </bottom>
      <diagonal/>
    </border>
    <border>
      <left style="thin">
        <color indexed="8"/>
      </left>
      <right/>
      <top style="thin">
        <color indexed="8"/>
      </top>
      <bottom style="thin">
        <color indexed="8"/>
      </bottom>
      <diagonal/>
    </border>
    <border>
      <left style="thin">
        <color indexed="17"/>
      </left>
      <right/>
      <top style="thin">
        <color indexed="17"/>
      </top>
      <bottom style="thin">
        <color indexed="17"/>
      </bottom>
      <diagonal/>
    </border>
    <border>
      <left style="medium">
        <color auto="1"/>
      </left>
      <right style="thin">
        <color indexed="8"/>
      </right>
      <top style="thin">
        <color indexed="8"/>
      </top>
      <bottom style="medium">
        <color auto="1"/>
      </bottom>
      <diagonal/>
    </border>
    <border>
      <left style="thin">
        <color indexed="8"/>
      </left>
      <right style="thin">
        <color indexed="8"/>
      </right>
      <top style="thin">
        <color indexed="8"/>
      </top>
      <bottom style="medium">
        <color auto="1"/>
      </bottom>
      <diagonal/>
    </border>
    <border>
      <left style="thin">
        <color indexed="8"/>
      </left>
      <right style="thin">
        <color indexed="8"/>
      </right>
      <top/>
      <bottom style="medium">
        <color auto="1"/>
      </bottom>
      <diagonal/>
    </border>
    <border>
      <left style="thin">
        <color indexed="8"/>
      </left>
      <right style="medium">
        <color auto="1"/>
      </right>
      <top/>
      <bottom style="medium">
        <color auto="1"/>
      </bottom>
      <diagonal/>
    </border>
    <border>
      <left/>
      <right style="thin">
        <color indexed="8"/>
      </right>
      <top style="medium">
        <color auto="1"/>
      </top>
      <bottom/>
      <diagonal/>
    </border>
    <border>
      <left/>
      <right style="medium">
        <color indexed="8"/>
      </right>
      <top style="thin">
        <color indexed="8"/>
      </top>
      <bottom style="thin">
        <color indexed="8"/>
      </bottom>
      <diagonal/>
    </border>
    <border>
      <left style="medium">
        <color indexed="8"/>
      </left>
      <right style="medium">
        <color auto="1"/>
      </right>
      <top style="medium">
        <color indexed="8"/>
      </top>
      <bottom style="medium">
        <color indexed="8"/>
      </bottom>
      <diagonal/>
    </border>
    <border>
      <left/>
      <right/>
      <top style="thin">
        <color indexed="8"/>
      </top>
      <bottom/>
      <diagonal/>
    </border>
    <border>
      <left/>
      <right style="medium">
        <color auto="1"/>
      </right>
      <top style="thin">
        <color indexed="8"/>
      </top>
      <bottom/>
      <diagonal/>
    </border>
    <border>
      <left style="medium">
        <color auto="1"/>
      </left>
      <right/>
      <top style="thin">
        <color indexed="8"/>
      </top>
      <bottom/>
      <diagonal/>
    </border>
    <border>
      <left style="medium">
        <color indexed="8"/>
      </left>
      <right style="medium">
        <color auto="1"/>
      </right>
      <top style="medium">
        <color indexed="8"/>
      </top>
      <bottom style="medium">
        <color auto="1"/>
      </bottom>
      <diagonal/>
    </border>
    <border>
      <left/>
      <right style="medium">
        <color auto="1"/>
      </right>
      <top style="thin">
        <color indexed="8"/>
      </top>
      <bottom style="thin">
        <color indexed="8"/>
      </bottom>
      <diagonal/>
    </border>
    <border>
      <left style="medium">
        <color auto="1"/>
      </left>
      <right/>
      <top/>
      <bottom style="thin">
        <color indexed="16"/>
      </bottom>
      <diagonal/>
    </border>
    <border>
      <left/>
      <right/>
      <top/>
      <bottom style="thin">
        <color indexed="16"/>
      </bottom>
      <diagonal/>
    </border>
    <border>
      <left style="thin">
        <color indexed="8"/>
      </left>
      <right style="thin">
        <color indexed="16"/>
      </right>
      <top/>
      <bottom style="thin">
        <color indexed="16"/>
      </bottom>
      <diagonal/>
    </border>
    <border>
      <left style="thin">
        <color indexed="8"/>
      </left>
      <right style="thin">
        <color indexed="8"/>
      </right>
      <top/>
      <bottom style="thin">
        <color indexed="8"/>
      </bottom>
      <diagonal/>
    </border>
    <border>
      <left style="thin">
        <color indexed="17"/>
      </left>
      <right style="thin">
        <color indexed="17"/>
      </right>
      <top style="thin">
        <color indexed="17"/>
      </top>
      <bottom style="thin">
        <color indexed="17"/>
      </bottom>
      <diagonal/>
    </border>
    <border>
      <left style="thin">
        <color indexed="8"/>
      </left>
      <right style="medium">
        <color auto="1"/>
      </right>
      <top style="thin">
        <color indexed="8"/>
      </top>
      <bottom style="thin">
        <color auto="1"/>
      </bottom>
      <diagonal/>
    </border>
    <border>
      <left/>
      <right/>
      <top style="thin">
        <color auto="1"/>
      </top>
      <bottom style="thin">
        <color indexed="8"/>
      </bottom>
      <diagonal/>
    </border>
    <border>
      <left style="thin">
        <color indexed="8"/>
      </left>
      <right/>
      <top/>
      <bottom style="thin">
        <color indexed="8"/>
      </bottom>
      <diagonal/>
    </border>
    <border>
      <left style="medium">
        <color auto="1"/>
      </left>
      <right/>
      <top style="thin">
        <color indexed="8"/>
      </top>
      <bottom style="thin">
        <color auto="1"/>
      </bottom>
      <diagonal/>
    </border>
    <border>
      <left/>
      <right/>
      <top style="thin">
        <color indexed="8"/>
      </top>
      <bottom style="thin">
        <color auto="1"/>
      </bottom>
      <diagonal/>
    </border>
    <border>
      <left style="thin">
        <color indexed="8"/>
      </left>
      <right style="thin">
        <color indexed="8"/>
      </right>
      <top style="thin">
        <color indexed="8"/>
      </top>
      <bottom style="thin">
        <color auto="1"/>
      </bottom>
      <diagonal/>
    </border>
    <border>
      <left/>
      <right style="thin">
        <color indexed="16"/>
      </right>
      <top style="thin">
        <color indexed="16"/>
      </top>
      <bottom style="thin">
        <color indexed="16"/>
      </bottom>
      <diagonal/>
    </border>
    <border>
      <left style="thin">
        <color indexed="8"/>
      </left>
      <right style="medium">
        <color auto="1"/>
      </right>
      <top style="medium">
        <color auto="1"/>
      </top>
      <bottom style="thin">
        <color indexed="8"/>
      </bottom>
      <diagonal/>
    </border>
    <border>
      <left style="thin">
        <color indexed="8"/>
      </left>
      <right style="medium">
        <color auto="1"/>
      </right>
      <top style="thin">
        <color indexed="8"/>
      </top>
      <bottom/>
      <diagonal/>
    </border>
    <border>
      <left style="thin">
        <color auto="1"/>
      </left>
      <right style="thin">
        <color indexed="8"/>
      </right>
      <top/>
      <bottom style="thin">
        <color indexed="8"/>
      </bottom>
      <diagonal/>
    </border>
    <border>
      <left style="thin">
        <color indexed="8"/>
      </left>
      <right style="medium">
        <color indexed="8"/>
      </right>
      <top style="thin">
        <color indexed="8"/>
      </top>
      <bottom style="thin">
        <color indexed="8"/>
      </bottom>
      <diagonal/>
    </border>
    <border>
      <left style="thin">
        <color indexed="8"/>
      </left>
      <right style="medium">
        <color indexed="8"/>
      </right>
      <top style="thin">
        <color indexed="8"/>
      </top>
      <bottom/>
      <diagonal/>
    </border>
    <border>
      <left style="thin">
        <color auto="1"/>
      </left>
      <right style="medium">
        <color indexed="8"/>
      </right>
      <top style="thin">
        <color auto="1"/>
      </top>
      <bottom style="thin">
        <color auto="1"/>
      </bottom>
      <diagonal/>
    </border>
    <border>
      <left style="thin">
        <color auto="1"/>
      </left>
      <right style="medium">
        <color indexed="8"/>
      </right>
      <top/>
      <bottom style="thin">
        <color auto="1"/>
      </bottom>
      <diagonal/>
    </border>
    <border>
      <left style="thin">
        <color auto="1"/>
      </left>
      <right style="medium">
        <color indexed="8"/>
      </right>
      <top/>
      <bottom style="thin">
        <color indexed="8"/>
      </bottom>
      <diagonal/>
    </border>
    <border>
      <left/>
      <right style="medium">
        <color indexed="8"/>
      </right>
      <top style="thin">
        <color indexed="8"/>
      </top>
      <bottom/>
      <diagonal/>
    </border>
    <border>
      <left/>
      <right style="medium">
        <color indexed="8"/>
      </right>
      <top style="thin">
        <color auto="1"/>
      </top>
      <bottom style="thin">
        <color auto="1"/>
      </bottom>
      <diagonal/>
    </border>
    <border>
      <left style="thin">
        <color indexed="8"/>
      </left>
      <right style="medium">
        <color indexed="8"/>
      </right>
      <top/>
      <bottom style="thin">
        <color indexed="16"/>
      </bottom>
      <diagonal/>
    </border>
    <border>
      <left style="thin">
        <color indexed="8"/>
      </left>
      <right style="medium">
        <color indexed="8"/>
      </right>
      <top/>
      <bottom style="thin">
        <color indexed="8"/>
      </bottom>
      <diagonal/>
    </border>
    <border>
      <left style="thin">
        <color indexed="17"/>
      </left>
      <right style="medium">
        <color indexed="8"/>
      </right>
      <top style="thin">
        <color indexed="17"/>
      </top>
      <bottom style="thin">
        <color indexed="17"/>
      </bottom>
      <diagonal/>
    </border>
    <border>
      <left style="thin">
        <color indexed="8"/>
      </left>
      <right style="medium">
        <color indexed="8"/>
      </right>
      <top style="thin">
        <color indexed="8"/>
      </top>
      <bottom style="thin">
        <color auto="1"/>
      </bottom>
      <diagonal/>
    </border>
    <border>
      <left/>
      <right style="medium">
        <color indexed="8"/>
      </right>
      <top style="thin">
        <color indexed="16"/>
      </top>
      <bottom style="thin">
        <color indexed="16"/>
      </bottom>
      <diagonal/>
    </border>
    <border>
      <left/>
      <right style="medium">
        <color indexed="8"/>
      </right>
      <top/>
      <bottom style="thin">
        <color indexed="8"/>
      </bottom>
      <diagonal/>
    </border>
    <border>
      <left/>
      <right style="medium">
        <color indexed="8"/>
      </right>
      <top style="medium">
        <color auto="1"/>
      </top>
      <bottom style="thin">
        <color auto="1"/>
      </bottom>
      <diagonal/>
    </border>
    <border>
      <left/>
      <right style="medium">
        <color indexed="8"/>
      </right>
      <top/>
      <bottom style="medium">
        <color auto="1"/>
      </bottom>
      <diagonal/>
    </border>
    <border>
      <left/>
      <right style="thin">
        <color auto="1"/>
      </right>
      <top/>
      <bottom style="medium">
        <color auto="1"/>
      </bottom>
      <diagonal/>
    </border>
    <border>
      <left style="thin">
        <color indexed="8"/>
      </left>
      <right style="medium">
        <color indexed="8"/>
      </right>
      <top style="thin">
        <color auto="1"/>
      </top>
      <bottom style="thin">
        <color indexed="8"/>
      </bottom>
      <diagonal/>
    </border>
    <border>
      <left style="thin">
        <color indexed="8"/>
      </left>
      <right style="medium">
        <color indexed="8"/>
      </right>
      <top style="medium">
        <color auto="1"/>
      </top>
      <bottom style="thin">
        <color auto="1"/>
      </bottom>
      <diagonal/>
    </border>
  </borders>
  <cellStyleXfs count="113">
    <xf numFmtId="0" fontId="0" fillId="0" borderId="0"/>
    <xf numFmtId="164" fontId="3" fillId="0" borderId="0" applyFont="0" applyFill="0" applyBorder="0" applyAlignment="0" applyProtection="0"/>
    <xf numFmtId="9" fontId="3" fillId="0" borderId="0" applyFont="0" applyFill="0" applyBorder="0" applyAlignment="0" applyProtection="0"/>
    <xf numFmtId="166" fontId="5" fillId="0" borderId="0" applyFont="0" applyFill="0" applyBorder="0" applyAlignment="0" applyProtection="0"/>
    <xf numFmtId="167" fontId="5" fillId="0" borderId="0" applyFon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10" fillId="0" borderId="14" applyNumberFormat="0" applyFill="0" applyBorder="0" applyProtection="0">
      <alignment horizontal="center"/>
    </xf>
    <xf numFmtId="168" fontId="7" fillId="0" borderId="0" applyFont="0" applyFill="0" applyBorder="0" applyAlignment="0" applyProtection="0"/>
    <xf numFmtId="169" fontId="7" fillId="0" borderId="0" applyFont="0" applyFill="0" applyBorder="0" applyAlignment="0" applyProtection="0"/>
    <xf numFmtId="3" fontId="11" fillId="2" borderId="15" applyFill="0" applyBorder="0" applyAlignment="0">
      <alignment horizontal="center"/>
    </xf>
    <xf numFmtId="170" fontId="6" fillId="0" borderId="0" applyFont="0" applyFill="0" applyBorder="0" applyAlignment="0" applyProtection="0"/>
    <xf numFmtId="171" fontId="7" fillId="0" borderId="0" applyFont="0" applyFill="0" applyBorder="0" applyAlignment="0" applyProtection="0"/>
    <xf numFmtId="3" fontId="4" fillId="0" borderId="0" applyFont="0" applyFill="0" applyBorder="0" applyAlignment="0" applyProtection="0"/>
    <xf numFmtId="165" fontId="4" fillId="0" borderId="0" applyFont="0" applyFill="0" applyBorder="0" applyAlignment="0" applyProtection="0"/>
    <xf numFmtId="4" fontId="4" fillId="0" borderId="0" applyFont="0" applyFill="0" applyBorder="0" applyAlignment="0" applyProtection="0"/>
    <xf numFmtId="172" fontId="4" fillId="0" borderId="0" applyFont="0" applyFill="0" applyBorder="0" applyAlignment="0" applyProtection="0"/>
    <xf numFmtId="173" fontId="4" fillId="0" borderId="0" applyFont="0" applyFill="0" applyBorder="0" applyAlignment="0" applyProtection="0"/>
    <xf numFmtId="0" fontId="5" fillId="0" borderId="0"/>
    <xf numFmtId="9" fontId="4" fillId="0" borderId="0" applyFont="0" applyFill="0" applyBorder="0" applyAlignment="0" applyProtection="0"/>
    <xf numFmtId="174" fontId="4" fillId="0" borderId="0" applyFont="0" applyFill="0" applyBorder="0" applyAlignment="0" applyProtection="0"/>
    <xf numFmtId="10" fontId="4" fillId="0" borderId="0" applyFont="0" applyFill="0" applyBorder="0" applyAlignment="0" applyProtection="0"/>
    <xf numFmtId="175" fontId="4" fillId="0" borderId="0" applyFont="0" applyFill="0" applyBorder="0" applyProtection="0">
      <alignment horizontal="center"/>
    </xf>
    <xf numFmtId="0" fontId="12" fillId="3" borderId="0" applyNumberFormat="0" applyFont="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3" fontId="11" fillId="0" borderId="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2" fillId="0" borderId="0"/>
    <xf numFmtId="0" fontId="49"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cellStyleXfs>
  <cellXfs count="577">
    <xf numFmtId="0" fontId="0" fillId="0" borderId="0" xfId="0"/>
    <xf numFmtId="0" fontId="12" fillId="0" borderId="0" xfId="0" applyFont="1"/>
    <xf numFmtId="0" fontId="15" fillId="0" borderId="20" xfId="0" applyFont="1" applyBorder="1" applyAlignment="1">
      <alignment horizontal="center"/>
    </xf>
    <xf numFmtId="0" fontId="15" fillId="0" borderId="0" xfId="0" applyFont="1" applyAlignment="1">
      <alignment horizontal="center"/>
    </xf>
    <xf numFmtId="0" fontId="15" fillId="0" borderId="5" xfId="0" applyFont="1" applyBorder="1" applyAlignment="1">
      <alignment horizontal="center"/>
    </xf>
    <xf numFmtId="0" fontId="15" fillId="0" borderId="23" xfId="0" applyFont="1" applyBorder="1" applyAlignment="1">
      <alignment horizontal="center"/>
    </xf>
    <xf numFmtId="0" fontId="12" fillId="0" borderId="7" xfId="0" applyFont="1" applyBorder="1" applyAlignment="1">
      <alignment horizontal="center"/>
    </xf>
    <xf numFmtId="0" fontId="12" fillId="0" borderId="6" xfId="0" applyFont="1" applyBorder="1"/>
    <xf numFmtId="0" fontId="12" fillId="0" borderId="0" xfId="0" applyFont="1" applyBorder="1"/>
    <xf numFmtId="0" fontId="16" fillId="0" borderId="20" xfId="0" applyFont="1" applyBorder="1" applyAlignment="1">
      <alignment horizontal="center"/>
    </xf>
    <xf numFmtId="0" fontId="12" fillId="0" borderId="0" xfId="0" applyFont="1" applyAlignment="1">
      <alignment horizontal="center"/>
    </xf>
    <xf numFmtId="0" fontId="12" fillId="0" borderId="20" xfId="0" applyFont="1" applyBorder="1"/>
    <xf numFmtId="0" fontId="12" fillId="0" borderId="5" xfId="0" applyFont="1" applyBorder="1"/>
    <xf numFmtId="0" fontId="12" fillId="0" borderId="23" xfId="0" applyFont="1" applyBorder="1"/>
    <xf numFmtId="0" fontId="12" fillId="0" borderId="5" xfId="0" applyFont="1" applyBorder="1" applyAlignment="1">
      <alignment horizontal="center"/>
    </xf>
    <xf numFmtId="0" fontId="12" fillId="0" borderId="3" xfId="0" applyFont="1" applyBorder="1"/>
    <xf numFmtId="0" fontId="12" fillId="4" borderId="16" xfId="0" applyFont="1" applyFill="1" applyBorder="1" applyAlignment="1" applyProtection="1">
      <alignment horizontal="center"/>
      <protection locked="0"/>
    </xf>
    <xf numFmtId="0" fontId="12" fillId="4" borderId="2" xfId="0" applyFont="1" applyFill="1" applyBorder="1" applyAlignment="1" applyProtection="1">
      <alignment horizontal="center"/>
      <protection locked="0"/>
    </xf>
    <xf numFmtId="0" fontId="12" fillId="0" borderId="3" xfId="0" applyFont="1" applyBorder="1" applyAlignment="1">
      <alignment horizontal="center"/>
    </xf>
    <xf numFmtId="0" fontId="12" fillId="0" borderId="0" xfId="0" applyFont="1" applyBorder="1" applyAlignment="1">
      <alignment horizontal="center" wrapText="1"/>
    </xf>
    <xf numFmtId="10" fontId="12" fillId="4" borderId="0" xfId="0" applyNumberFormat="1" applyFont="1" applyFill="1" applyBorder="1" applyAlignment="1" applyProtection="1">
      <alignment horizontal="center"/>
      <protection locked="0"/>
    </xf>
    <xf numFmtId="10" fontId="12" fillId="4" borderId="0" xfId="2" applyNumberFormat="1" applyFont="1" applyFill="1" applyAlignment="1" applyProtection="1">
      <alignment horizontal="center"/>
      <protection locked="0"/>
    </xf>
    <xf numFmtId="0" fontId="12" fillId="0" borderId="10" xfId="0" applyFont="1" applyBorder="1" applyAlignment="1">
      <alignment horizontal="center"/>
    </xf>
    <xf numFmtId="0" fontId="12" fillId="0" borderId="8" xfId="0" applyFont="1" applyBorder="1"/>
    <xf numFmtId="0" fontId="12" fillId="0" borderId="17" xfId="0" applyFont="1" applyBorder="1" applyAlignment="1">
      <alignment horizontal="center"/>
    </xf>
    <xf numFmtId="3" fontId="15" fillId="0" borderId="17" xfId="0" applyNumberFormat="1" applyFont="1" applyBorder="1" applyAlignment="1">
      <alignment horizontal="center"/>
    </xf>
    <xf numFmtId="0" fontId="12" fillId="0" borderId="19" xfId="0" applyFont="1" applyBorder="1" applyAlignment="1">
      <alignment horizontal="center"/>
    </xf>
    <xf numFmtId="3" fontId="15" fillId="0" borderId="19" xfId="0" applyNumberFormat="1" applyFont="1" applyBorder="1" applyAlignment="1">
      <alignment horizontal="center"/>
    </xf>
    <xf numFmtId="3" fontId="15" fillId="0" borderId="19" xfId="0" applyNumberFormat="1" applyFont="1" applyBorder="1"/>
    <xf numFmtId="10" fontId="12" fillId="0" borderId="0" xfId="0" applyNumberFormat="1" applyFont="1" applyBorder="1" applyAlignment="1" applyProtection="1">
      <alignment horizontal="center"/>
      <protection locked="0"/>
    </xf>
    <xf numFmtId="3" fontId="12" fillId="0" borderId="0" xfId="0" applyNumberFormat="1" applyFont="1" applyFill="1" applyAlignment="1" applyProtection="1">
      <alignment horizontal="center"/>
      <protection locked="0"/>
    </xf>
    <xf numFmtId="3" fontId="12" fillId="0" borderId="0" xfId="0" applyNumberFormat="1" applyFont="1" applyFill="1" applyProtection="1">
      <protection locked="0"/>
    </xf>
    <xf numFmtId="0" fontId="12" fillId="0" borderId="2" xfId="0" applyFont="1" applyBorder="1" applyAlignment="1">
      <alignment horizontal="center"/>
    </xf>
    <xf numFmtId="0" fontId="12" fillId="0" borderId="1" xfId="0" applyFont="1" applyBorder="1"/>
    <xf numFmtId="0" fontId="12" fillId="0" borderId="10" xfId="0" applyFont="1" applyFill="1" applyBorder="1" applyAlignment="1">
      <alignment horizontal="center"/>
    </xf>
    <xf numFmtId="0" fontId="15" fillId="0" borderId="8" xfId="0" applyFont="1" applyFill="1" applyBorder="1"/>
    <xf numFmtId="0" fontId="12" fillId="0" borderId="17" xfId="0" applyFont="1" applyBorder="1"/>
    <xf numFmtId="0" fontId="15" fillId="0" borderId="0" xfId="0" applyFont="1"/>
    <xf numFmtId="0" fontId="12" fillId="0" borderId="0" xfId="0" applyFont="1" applyAlignment="1">
      <alignment wrapText="1"/>
    </xf>
    <xf numFmtId="0" fontId="12" fillId="4" borderId="16" xfId="0" applyFont="1" applyFill="1" applyBorder="1" applyProtection="1">
      <protection locked="0"/>
    </xf>
    <xf numFmtId="0" fontId="12" fillId="0" borderId="0" xfId="0" applyFont="1" applyFill="1" applyBorder="1" applyAlignment="1">
      <alignment wrapText="1"/>
    </xf>
    <xf numFmtId="0" fontId="20" fillId="0" borderId="0" xfId="0" applyFont="1"/>
    <xf numFmtId="0" fontId="21" fillId="0" borderId="0" xfId="0" applyFont="1"/>
    <xf numFmtId="0" fontId="12" fillId="0" borderId="19" xfId="0" applyFont="1" applyBorder="1"/>
    <xf numFmtId="176" fontId="12" fillId="0" borderId="0" xfId="0" applyNumberFormat="1" applyFont="1"/>
    <xf numFmtId="176" fontId="15" fillId="0" borderId="0" xfId="0" applyNumberFormat="1" applyFont="1"/>
    <xf numFmtId="0" fontId="21" fillId="0" borderId="20" xfId="0" applyFont="1" applyBorder="1" applyAlignment="1">
      <alignment horizontal="center" vertical="center"/>
    </xf>
    <xf numFmtId="0" fontId="21" fillId="0" borderId="5" xfId="0" applyFont="1" applyBorder="1" applyAlignment="1">
      <alignment horizontal="center" vertical="center"/>
    </xf>
    <xf numFmtId="0" fontId="21" fillId="0" borderId="23" xfId="0" applyFont="1" applyBorder="1" applyAlignment="1">
      <alignment horizontal="center" vertical="center"/>
    </xf>
    <xf numFmtId="3" fontId="12" fillId="0" borderId="0" xfId="0" applyNumberFormat="1" applyFont="1"/>
    <xf numFmtId="0" fontId="24" fillId="0" borderId="0" xfId="0" applyFont="1" applyAlignment="1">
      <alignment horizontal="left"/>
    </xf>
    <xf numFmtId="3" fontId="12" fillId="0" borderId="17" xfId="0" applyNumberFormat="1" applyFont="1" applyBorder="1"/>
    <xf numFmtId="3" fontId="15" fillId="0" borderId="17" xfId="0" applyNumberFormat="1" applyFont="1" applyBorder="1"/>
    <xf numFmtId="0" fontId="15" fillId="5" borderId="28" xfId="0" applyFont="1" applyFill="1" applyBorder="1" applyAlignment="1">
      <alignment horizontal="center"/>
    </xf>
    <xf numFmtId="0" fontId="15" fillId="5" borderId="33" xfId="0" applyFont="1" applyFill="1" applyBorder="1" applyAlignment="1">
      <alignment horizontal="center" wrapText="1"/>
    </xf>
    <xf numFmtId="0" fontId="23" fillId="5" borderId="29" xfId="0" applyFont="1" applyFill="1" applyBorder="1" applyAlignment="1"/>
    <xf numFmtId="0" fontId="23" fillId="5" borderId="30" xfId="0" applyFont="1" applyFill="1" applyBorder="1" applyAlignment="1"/>
    <xf numFmtId="0" fontId="12" fillId="5" borderId="31" xfId="0" applyFont="1" applyFill="1" applyBorder="1" applyAlignment="1">
      <alignment horizontal="center"/>
    </xf>
    <xf numFmtId="0" fontId="12" fillId="5" borderId="32" xfId="0" applyFont="1" applyFill="1" applyBorder="1" applyAlignment="1">
      <alignment horizontal="center"/>
    </xf>
    <xf numFmtId="3" fontId="15" fillId="0" borderId="0" xfId="0" applyNumberFormat="1" applyFont="1"/>
    <xf numFmtId="3" fontId="12" fillId="0" borderId="19" xfId="0" applyNumberFormat="1" applyFont="1" applyBorder="1"/>
    <xf numFmtId="3" fontId="16" fillId="0" borderId="20" xfId="1" applyNumberFormat="1" applyFont="1" applyBorder="1" applyProtection="1">
      <protection locked="0"/>
    </xf>
    <xf numFmtId="3" fontId="18" fillId="0" borderId="21" xfId="1" applyNumberFormat="1" applyFont="1" applyBorder="1"/>
    <xf numFmtId="3" fontId="19" fillId="0" borderId="21" xfId="1" applyNumberFormat="1" applyFont="1" applyBorder="1"/>
    <xf numFmtId="3" fontId="18" fillId="0" borderId="16" xfId="1" applyNumberFormat="1" applyFont="1" applyBorder="1"/>
    <xf numFmtId="3" fontId="16" fillId="4" borderId="20" xfId="1" applyNumberFormat="1" applyFont="1" applyFill="1" applyBorder="1" applyProtection="1">
      <protection locked="0"/>
    </xf>
    <xf numFmtId="3" fontId="17" fillId="0" borderId="21" xfId="1" applyNumberFormat="1" applyFont="1" applyBorder="1"/>
    <xf numFmtId="3" fontId="12" fillId="0" borderId="0" xfId="1" applyNumberFormat="1" applyFont="1"/>
    <xf numFmtId="3" fontId="15" fillId="0" borderId="0" xfId="1" applyNumberFormat="1" applyFont="1"/>
    <xf numFmtId="3" fontId="17" fillId="0" borderId="23" xfId="1" applyNumberFormat="1" applyFont="1" applyBorder="1"/>
    <xf numFmtId="3" fontId="18" fillId="0" borderId="22" xfId="1" applyNumberFormat="1" applyFont="1" applyBorder="1"/>
    <xf numFmtId="3" fontId="18" fillId="0" borderId="24" xfId="1" applyNumberFormat="1" applyFont="1" applyBorder="1"/>
    <xf numFmtId="3" fontId="17" fillId="0" borderId="22" xfId="1" applyNumberFormat="1" applyFont="1" applyBorder="1"/>
    <xf numFmtId="0" fontId="12" fillId="4" borderId="67" xfId="0" applyFont="1" applyFill="1" applyBorder="1" applyProtection="1">
      <protection locked="0"/>
    </xf>
    <xf numFmtId="0" fontId="25" fillId="4" borderId="67" xfId="0" applyFont="1" applyFill="1" applyBorder="1" applyProtection="1">
      <protection locked="0"/>
    </xf>
    <xf numFmtId="0" fontId="16" fillId="4" borderId="67" xfId="0" applyFont="1" applyFill="1" applyBorder="1" applyProtection="1">
      <protection locked="0"/>
    </xf>
    <xf numFmtId="0" fontId="31" fillId="0" borderId="0" xfId="0" applyFont="1"/>
    <xf numFmtId="0" fontId="32" fillId="0" borderId="0" xfId="0" applyFont="1"/>
    <xf numFmtId="3" fontId="16" fillId="4" borderId="26" xfId="1" applyNumberFormat="1" applyFont="1" applyFill="1" applyBorder="1" applyProtection="1">
      <protection locked="0"/>
    </xf>
    <xf numFmtId="3" fontId="16" fillId="4" borderId="23" xfId="1" applyNumberFormat="1" applyFont="1" applyFill="1" applyBorder="1" applyProtection="1">
      <protection locked="0"/>
    </xf>
    <xf numFmtId="3" fontId="16" fillId="4" borderId="5" xfId="1" applyNumberFormat="1" applyFont="1" applyFill="1" applyBorder="1" applyProtection="1">
      <protection locked="0"/>
    </xf>
    <xf numFmtId="0" fontId="12" fillId="0" borderId="75" xfId="0" applyFont="1" applyBorder="1"/>
    <xf numFmtId="3" fontId="16" fillId="4" borderId="82" xfId="1" applyNumberFormat="1" applyFont="1" applyFill="1" applyBorder="1" applyProtection="1">
      <protection locked="0"/>
    </xf>
    <xf numFmtId="3" fontId="16" fillId="4" borderId="83" xfId="1" applyNumberFormat="1" applyFont="1" applyFill="1" applyBorder="1" applyProtection="1">
      <protection locked="0"/>
    </xf>
    <xf numFmtId="3" fontId="16" fillId="4" borderId="80" xfId="1" applyNumberFormat="1" applyFont="1" applyFill="1" applyBorder="1" applyProtection="1">
      <protection locked="0"/>
    </xf>
    <xf numFmtId="3" fontId="16" fillId="4" borderId="85" xfId="1" applyNumberFormat="1" applyFont="1" applyFill="1" applyBorder="1" applyProtection="1">
      <protection locked="0"/>
    </xf>
    <xf numFmtId="3" fontId="16" fillId="4" borderId="86" xfId="1" applyNumberFormat="1" applyFont="1" applyFill="1" applyBorder="1" applyProtection="1">
      <protection locked="0"/>
    </xf>
    <xf numFmtId="3" fontId="16" fillId="4" borderId="67" xfId="1" applyNumberFormat="1" applyFont="1" applyFill="1" applyBorder="1" applyProtection="1">
      <protection locked="0"/>
    </xf>
    <xf numFmtId="3" fontId="19" fillId="4" borderId="25" xfId="1" applyNumberFormat="1" applyFont="1" applyFill="1" applyBorder="1" applyProtection="1">
      <protection locked="0"/>
    </xf>
    <xf numFmtId="3" fontId="19" fillId="4" borderId="22" xfId="1" applyNumberFormat="1" applyFont="1" applyFill="1" applyBorder="1" applyProtection="1">
      <protection locked="0"/>
    </xf>
    <xf numFmtId="3" fontId="19" fillId="4" borderId="10" xfId="1" applyNumberFormat="1" applyFont="1" applyFill="1" applyBorder="1" applyProtection="1">
      <protection locked="0"/>
    </xf>
    <xf numFmtId="0" fontId="0" fillId="0" borderId="0" xfId="0" applyProtection="1"/>
    <xf numFmtId="0" fontId="9" fillId="0" borderId="0" xfId="0" applyFont="1" applyProtection="1"/>
    <xf numFmtId="0" fontId="26" fillId="0" borderId="0" xfId="0" applyFont="1" applyAlignment="1" applyProtection="1">
      <alignment horizontal="center"/>
    </xf>
    <xf numFmtId="0" fontId="0" fillId="0" borderId="81" xfId="0" applyBorder="1" applyProtection="1"/>
    <xf numFmtId="0" fontId="15" fillId="0" borderId="82" xfId="0" applyFont="1" applyBorder="1" applyAlignment="1" applyProtection="1">
      <alignment horizontal="center"/>
    </xf>
    <xf numFmtId="0" fontId="15" fillId="0" borderId="83" xfId="0" applyFont="1" applyBorder="1" applyAlignment="1" applyProtection="1">
      <alignment horizontal="center"/>
    </xf>
    <xf numFmtId="0" fontId="15" fillId="0" borderId="80" xfId="0" applyFont="1" applyBorder="1" applyAlignment="1" applyProtection="1">
      <alignment horizontal="center"/>
    </xf>
    <xf numFmtId="0" fontId="15" fillId="0" borderId="84" xfId="0" applyFont="1" applyBorder="1" applyAlignment="1" applyProtection="1">
      <alignment horizontal="center"/>
    </xf>
    <xf numFmtId="0" fontId="12" fillId="0" borderId="5" xfId="0" applyFont="1" applyBorder="1" applyAlignment="1" applyProtection="1">
      <alignment horizontal="center"/>
    </xf>
    <xf numFmtId="0" fontId="12" fillId="0" borderId="0" xfId="0" applyFont="1" applyBorder="1" applyAlignment="1" applyProtection="1">
      <alignment horizontal="center"/>
    </xf>
    <xf numFmtId="0" fontId="0" fillId="0" borderId="26" xfId="0" applyBorder="1" applyProtection="1"/>
    <xf numFmtId="0" fontId="0" fillId="0" borderId="23" xfId="0" applyBorder="1" applyProtection="1"/>
    <xf numFmtId="0" fontId="0" fillId="0" borderId="5" xfId="0" applyBorder="1" applyProtection="1"/>
    <xf numFmtId="0" fontId="0" fillId="0" borderId="4" xfId="0" applyBorder="1" applyProtection="1"/>
    <xf numFmtId="3" fontId="16" fillId="0" borderId="85" xfId="1" applyNumberFormat="1" applyFont="1" applyBorder="1" applyProtection="1"/>
    <xf numFmtId="3" fontId="16" fillId="0" borderId="86" xfId="1" applyNumberFormat="1" applyFont="1" applyBorder="1" applyProtection="1"/>
    <xf numFmtId="3" fontId="16" fillId="0" borderId="67" xfId="1" applyNumberFormat="1" applyFont="1" applyBorder="1" applyProtection="1"/>
    <xf numFmtId="3" fontId="28" fillId="0" borderId="85" xfId="1" applyNumberFormat="1" applyFont="1" applyBorder="1" applyProtection="1"/>
    <xf numFmtId="0" fontId="12" fillId="0" borderId="2" xfId="0" applyFont="1" applyBorder="1" applyAlignment="1" applyProtection="1">
      <alignment horizontal="center"/>
    </xf>
    <xf numFmtId="3" fontId="18" fillId="0" borderId="27" xfId="1" applyNumberFormat="1" applyFont="1" applyBorder="1" applyProtection="1"/>
    <xf numFmtId="3" fontId="18" fillId="0" borderId="24" xfId="1" applyNumberFormat="1" applyFont="1" applyBorder="1" applyProtection="1"/>
    <xf numFmtId="3" fontId="18" fillId="0" borderId="2" xfId="1" applyNumberFormat="1" applyFont="1" applyBorder="1" applyProtection="1"/>
    <xf numFmtId="3" fontId="29" fillId="0" borderId="27" xfId="1" applyNumberFormat="1" applyFont="1" applyBorder="1" applyProtection="1"/>
    <xf numFmtId="3" fontId="16" fillId="0" borderId="82" xfId="1" applyNumberFormat="1" applyFont="1" applyBorder="1" applyProtection="1"/>
    <xf numFmtId="3" fontId="28" fillId="0" borderId="82" xfId="1" applyNumberFormat="1" applyFont="1" applyBorder="1" applyProtection="1"/>
    <xf numFmtId="3" fontId="16" fillId="0" borderId="83" xfId="1" applyNumberFormat="1" applyFont="1" applyBorder="1" applyProtection="1"/>
    <xf numFmtId="3" fontId="16" fillId="0" borderId="80" xfId="1" applyNumberFormat="1" applyFont="1" applyBorder="1" applyProtection="1"/>
    <xf numFmtId="0" fontId="12" fillId="0" borderId="10" xfId="0" applyFont="1" applyBorder="1" applyAlignment="1" applyProtection="1">
      <alignment horizontal="center"/>
    </xf>
    <xf numFmtId="3" fontId="19" fillId="0" borderId="25" xfId="1" applyNumberFormat="1" applyFont="1" applyBorder="1" applyProtection="1"/>
    <xf numFmtId="3" fontId="30" fillId="0" borderId="25" xfId="1" applyNumberFormat="1" applyFont="1" applyBorder="1" applyProtection="1"/>
    <xf numFmtId="3" fontId="18" fillId="0" borderId="25" xfId="1" applyNumberFormat="1" applyFont="1" applyBorder="1" applyProtection="1"/>
    <xf numFmtId="3" fontId="18" fillId="0" borderId="22" xfId="1" applyNumberFormat="1" applyFont="1" applyBorder="1" applyProtection="1"/>
    <xf numFmtId="3" fontId="18" fillId="0" borderId="10" xfId="1" applyNumberFormat="1" applyFont="1" applyBorder="1" applyProtection="1"/>
    <xf numFmtId="3" fontId="29" fillId="0" borderId="25" xfId="1" applyNumberFormat="1" applyFont="1" applyBorder="1" applyProtection="1"/>
    <xf numFmtId="0" fontId="12" fillId="0" borderId="80" xfId="0" applyFont="1" applyBorder="1" applyAlignment="1" applyProtection="1">
      <alignment horizontal="center"/>
    </xf>
    <xf numFmtId="0" fontId="12" fillId="0" borderId="67" xfId="0" applyFont="1" applyBorder="1" applyAlignment="1" applyProtection="1">
      <alignment horizontal="center"/>
    </xf>
    <xf numFmtId="3" fontId="16" fillId="0" borderId="26" xfId="1" applyNumberFormat="1" applyFont="1" applyBorder="1" applyProtection="1"/>
    <xf numFmtId="3" fontId="28" fillId="0" borderId="26" xfId="1" applyNumberFormat="1" applyFont="1" applyBorder="1" applyProtection="1"/>
    <xf numFmtId="0" fontId="12" fillId="0" borderId="10" xfId="0" applyFont="1" applyFill="1" applyBorder="1" applyAlignment="1" applyProtection="1">
      <alignment horizontal="center"/>
    </xf>
    <xf numFmtId="0" fontId="32" fillId="0" borderId="0" xfId="0" applyFont="1" applyFill="1" applyBorder="1" applyProtection="1"/>
    <xf numFmtId="0" fontId="15" fillId="0" borderId="0" xfId="0" applyFont="1" applyProtection="1"/>
    <xf numFmtId="0" fontId="12" fillId="0" borderId="0" xfId="0" applyFont="1" applyProtection="1"/>
    <xf numFmtId="0" fontId="34" fillId="0" borderId="0" xfId="77" applyFont="1" applyProtection="1"/>
    <xf numFmtId="3" fontId="12" fillId="0" borderId="0" xfId="0" applyNumberFormat="1" applyFont="1" applyProtection="1"/>
    <xf numFmtId="0" fontId="12" fillId="10" borderId="0" xfId="0" applyFont="1" applyFill="1" applyProtection="1"/>
    <xf numFmtId="3" fontId="12" fillId="10" borderId="0" xfId="0" applyNumberFormat="1" applyFont="1" applyFill="1" applyProtection="1"/>
    <xf numFmtId="0" fontId="33" fillId="0" borderId="0" xfId="0" applyFont="1"/>
    <xf numFmtId="3" fontId="35" fillId="0" borderId="0" xfId="14" applyFont="1"/>
    <xf numFmtId="0" fontId="36" fillId="0" borderId="0" xfId="0" applyFont="1" applyAlignment="1">
      <alignment horizontal="center"/>
    </xf>
    <xf numFmtId="0" fontId="12" fillId="6" borderId="34" xfId="0" applyFont="1" applyFill="1" applyBorder="1" applyAlignment="1">
      <alignment horizontal="center"/>
    </xf>
    <xf numFmtId="3" fontId="15" fillId="6" borderId="35" xfId="14" applyFont="1" applyFill="1" applyBorder="1" applyAlignment="1">
      <alignment horizontal="center"/>
    </xf>
    <xf numFmtId="3" fontId="15" fillId="6" borderId="36" xfId="14" applyFont="1" applyFill="1" applyBorder="1" applyAlignment="1">
      <alignment horizontal="center"/>
    </xf>
    <xf numFmtId="3" fontId="12" fillId="0" borderId="22" xfId="14" applyFont="1" applyFill="1" applyBorder="1" applyAlignment="1">
      <alignment horizontal="center" vertical="top" wrapText="1"/>
    </xf>
    <xf numFmtId="3" fontId="12" fillId="0" borderId="16" xfId="14" applyFont="1" applyFill="1" applyBorder="1" applyAlignment="1">
      <alignment horizontal="center" vertical="top" wrapText="1"/>
    </xf>
    <xf numFmtId="3" fontId="12" fillId="0" borderId="37" xfId="14" applyFont="1" applyFill="1" applyBorder="1" applyAlignment="1">
      <alignment horizontal="center" vertical="top" wrapText="1"/>
    </xf>
    <xf numFmtId="3" fontId="12" fillId="0" borderId="38" xfId="14" applyFont="1" applyBorder="1" applyAlignment="1">
      <alignment horizontal="center"/>
    </xf>
    <xf numFmtId="3" fontId="37" fillId="4" borderId="39" xfId="0" applyNumberFormat="1" applyFont="1" applyFill="1" applyBorder="1" applyProtection="1">
      <protection locked="0"/>
    </xf>
    <xf numFmtId="3" fontId="25" fillId="0" borderId="41" xfId="0" applyNumberFormat="1" applyFont="1" applyBorder="1"/>
    <xf numFmtId="3" fontId="37" fillId="4" borderId="53" xfId="0" applyNumberFormat="1" applyFont="1" applyFill="1" applyBorder="1" applyProtection="1">
      <protection locked="0"/>
    </xf>
    <xf numFmtId="3" fontId="37" fillId="4" borderId="45" xfId="0" applyNumberFormat="1" applyFont="1" applyFill="1" applyBorder="1" applyProtection="1">
      <protection locked="0"/>
    </xf>
    <xf numFmtId="3" fontId="25" fillId="0" borderId="42" xfId="0" applyNumberFormat="1" applyFont="1" applyBorder="1"/>
    <xf numFmtId="3" fontId="25" fillId="0" borderId="43" xfId="0" applyNumberFormat="1" applyFont="1" applyBorder="1"/>
    <xf numFmtId="3" fontId="37" fillId="4" borderId="44" xfId="0" applyNumberFormat="1" applyFont="1" applyFill="1" applyBorder="1" applyProtection="1">
      <protection locked="0"/>
    </xf>
    <xf numFmtId="3" fontId="25" fillId="0" borderId="46" xfId="0" applyNumberFormat="1" applyFont="1" applyBorder="1"/>
    <xf numFmtId="3" fontId="12" fillId="0" borderId="59" xfId="14" applyFont="1" applyBorder="1" applyAlignment="1">
      <alignment horizontal="center"/>
    </xf>
    <xf numFmtId="3" fontId="37" fillId="4" borderId="60" xfId="0" applyNumberFormat="1" applyFont="1" applyFill="1" applyBorder="1" applyProtection="1">
      <protection locked="0"/>
    </xf>
    <xf numFmtId="3" fontId="37" fillId="4" borderId="61" xfId="0" applyNumberFormat="1" applyFont="1" applyFill="1" applyBorder="1" applyProtection="1">
      <protection locked="0"/>
    </xf>
    <xf numFmtId="3" fontId="25" fillId="0" borderId="62" xfId="0" applyNumberFormat="1" applyFont="1" applyBorder="1"/>
    <xf numFmtId="3" fontId="37" fillId="4" borderId="47" xfId="0" applyNumberFormat="1" applyFont="1" applyFill="1" applyBorder="1" applyProtection="1">
      <protection locked="0"/>
    </xf>
    <xf numFmtId="3" fontId="37" fillId="4" borderId="48" xfId="0" applyNumberFormat="1" applyFont="1" applyFill="1" applyBorder="1" applyProtection="1">
      <protection locked="0"/>
    </xf>
    <xf numFmtId="3" fontId="25" fillId="0" borderId="49" xfId="0" applyNumberFormat="1" applyFont="1" applyBorder="1"/>
    <xf numFmtId="3" fontId="25" fillId="0" borderId="50" xfId="0" applyNumberFormat="1" applyFont="1" applyBorder="1"/>
    <xf numFmtId="0" fontId="31" fillId="9" borderId="0" xfId="0" applyFont="1" applyFill="1" applyAlignment="1">
      <alignment horizontal="center"/>
    </xf>
    <xf numFmtId="3" fontId="12" fillId="0" borderId="56" xfId="14" applyFont="1" applyBorder="1"/>
    <xf numFmtId="3" fontId="25" fillId="7" borderId="57" xfId="0" applyNumberFormat="1" applyFont="1" applyFill="1" applyBorder="1"/>
    <xf numFmtId="3" fontId="25" fillId="7" borderId="58" xfId="0" applyNumberFormat="1" applyFont="1" applyFill="1" applyBorder="1"/>
    <xf numFmtId="3" fontId="25" fillId="0" borderId="54" xfId="0" applyNumberFormat="1" applyFont="1" applyBorder="1"/>
    <xf numFmtId="3" fontId="25" fillId="7" borderId="54" xfId="0" applyNumberFormat="1" applyFont="1" applyFill="1" applyBorder="1"/>
    <xf numFmtId="3" fontId="25" fillId="0" borderId="52" xfId="0" applyNumberFormat="1" applyFont="1" applyBorder="1"/>
    <xf numFmtId="3" fontId="31" fillId="9" borderId="0" xfId="0" applyNumberFormat="1" applyFont="1" applyFill="1" applyAlignment="1">
      <alignment horizontal="center"/>
    </xf>
    <xf numFmtId="3" fontId="12" fillId="0" borderId="0" xfId="14" applyFont="1" applyBorder="1"/>
    <xf numFmtId="3" fontId="25" fillId="0" borderId="0" xfId="0" applyNumberFormat="1" applyFont="1" applyFill="1" applyBorder="1"/>
    <xf numFmtId="3" fontId="25" fillId="0" borderId="0" xfId="0" applyNumberFormat="1" applyFont="1" applyBorder="1"/>
    <xf numFmtId="3" fontId="37" fillId="4" borderId="40" xfId="0" applyNumberFormat="1" applyFont="1" applyFill="1" applyBorder="1" applyProtection="1">
      <protection locked="0"/>
    </xf>
    <xf numFmtId="3" fontId="37" fillId="4" borderId="41" xfId="0" applyNumberFormat="1" applyFont="1" applyFill="1" applyBorder="1" applyProtection="1">
      <protection locked="0"/>
    </xf>
    <xf numFmtId="3" fontId="37" fillId="4" borderId="46" xfId="0" applyNumberFormat="1" applyFont="1" applyFill="1" applyBorder="1" applyProtection="1">
      <protection locked="0"/>
    </xf>
    <xf numFmtId="3" fontId="25" fillId="0" borderId="51" xfId="0" applyNumberFormat="1" applyFont="1" applyBorder="1"/>
    <xf numFmtId="3" fontId="25" fillId="7" borderId="51" xfId="0" applyNumberFormat="1" applyFont="1" applyFill="1" applyBorder="1"/>
    <xf numFmtId="3" fontId="37" fillId="0" borderId="40" xfId="0" applyNumberFormat="1" applyFont="1" applyBorder="1" applyProtection="1"/>
    <xf numFmtId="3" fontId="37" fillId="4" borderId="44" xfId="87" applyFont="1" applyFill="1" applyBorder="1" applyProtection="1">
      <protection locked="0"/>
    </xf>
    <xf numFmtId="3" fontId="37" fillId="4" borderId="53" xfId="87" applyFont="1" applyFill="1" applyBorder="1" applyProtection="1">
      <protection locked="0"/>
    </xf>
    <xf numFmtId="3" fontId="37" fillId="4" borderId="45" xfId="87" applyFont="1" applyFill="1" applyBorder="1" applyProtection="1">
      <protection locked="0"/>
    </xf>
    <xf numFmtId="3" fontId="25" fillId="0" borderId="42" xfId="1" applyNumberFormat="1" applyFont="1" applyBorder="1"/>
    <xf numFmtId="3" fontId="25" fillId="0" borderId="43" xfId="1" applyNumberFormat="1" applyFont="1" applyBorder="1"/>
    <xf numFmtId="0" fontId="25" fillId="7" borderId="57" xfId="0" applyFont="1" applyFill="1" applyBorder="1"/>
    <xf numFmtId="0" fontId="25" fillId="7" borderId="58" xfId="0" applyFont="1" applyFill="1" applyBorder="1"/>
    <xf numFmtId="3" fontId="25" fillId="0" borderId="51" xfId="1" applyNumberFormat="1" applyFont="1" applyBorder="1"/>
    <xf numFmtId="0" fontId="25" fillId="7" borderId="51" xfId="0" applyFont="1" applyFill="1" applyBorder="1"/>
    <xf numFmtId="3" fontId="25" fillId="0" borderId="52" xfId="1" applyNumberFormat="1" applyFont="1" applyBorder="1"/>
    <xf numFmtId="3" fontId="37" fillId="0" borderId="45" xfId="87" applyFont="1" applyBorder="1" applyProtection="1"/>
    <xf numFmtId="3" fontId="15" fillId="0" borderId="0" xfId="14" applyFont="1" applyProtection="1">
      <protection locked="0"/>
    </xf>
    <xf numFmtId="0" fontId="12" fillId="0" borderId="0" xfId="0" applyFont="1" applyProtection="1">
      <protection locked="0"/>
    </xf>
    <xf numFmtId="3" fontId="15" fillId="6" borderId="63" xfId="14" applyFont="1" applyFill="1" applyBorder="1" applyAlignment="1" applyProtection="1">
      <alignment horizontal="center"/>
      <protection locked="0"/>
    </xf>
    <xf numFmtId="3" fontId="15" fillId="6" borderId="64" xfId="14" applyFont="1" applyFill="1" applyBorder="1" applyProtection="1">
      <protection locked="0"/>
    </xf>
    <xf numFmtId="1" fontId="38" fillId="6" borderId="65" xfId="14" applyNumberFormat="1" applyFont="1" applyFill="1" applyBorder="1" applyAlignment="1" applyProtection="1">
      <alignment horizontal="center"/>
      <protection locked="0"/>
    </xf>
    <xf numFmtId="1" fontId="38" fillId="6" borderId="66" xfId="14" applyNumberFormat="1" applyFont="1" applyFill="1" applyBorder="1" applyAlignment="1" applyProtection="1">
      <alignment horizontal="center"/>
      <protection locked="0"/>
    </xf>
    <xf numFmtId="3" fontId="12" fillId="0" borderId="38" xfId="14" applyFont="1" applyBorder="1" applyAlignment="1" applyProtection="1">
      <alignment horizontal="center"/>
      <protection locked="0"/>
    </xf>
    <xf numFmtId="3" fontId="12" fillId="4" borderId="67" xfId="87" applyFont="1" applyFill="1" applyBorder="1" applyProtection="1">
      <protection locked="0"/>
    </xf>
    <xf numFmtId="3" fontId="37" fillId="4" borderId="68" xfId="87" applyFont="1" applyFill="1" applyBorder="1" applyProtection="1">
      <protection locked="0"/>
    </xf>
    <xf numFmtId="3" fontId="37" fillId="4" borderId="69" xfId="1" applyNumberFormat="1" applyFont="1" applyFill="1" applyBorder="1" applyProtection="1">
      <protection locked="0"/>
    </xf>
    <xf numFmtId="3" fontId="37" fillId="4" borderId="70" xfId="87" applyFont="1" applyFill="1" applyBorder="1" applyProtection="1">
      <protection locked="0"/>
    </xf>
    <xf numFmtId="3" fontId="37" fillId="4" borderId="71" xfId="1" applyNumberFormat="1" applyFont="1" applyFill="1" applyBorder="1" applyProtection="1">
      <protection locked="0"/>
    </xf>
    <xf numFmtId="3" fontId="37" fillId="4" borderId="38" xfId="87" applyFont="1" applyFill="1" applyBorder="1" applyProtection="1">
      <protection locked="0"/>
    </xf>
    <xf numFmtId="3" fontId="12" fillId="4" borderId="5" xfId="87" applyFont="1" applyFill="1" applyBorder="1" applyProtection="1">
      <protection locked="0"/>
    </xf>
    <xf numFmtId="3" fontId="12" fillId="0" borderId="72" xfId="14" applyFont="1" applyBorder="1" applyAlignment="1" applyProtection="1">
      <alignment horizontal="center"/>
      <protection locked="0"/>
    </xf>
    <xf numFmtId="3" fontId="39" fillId="0" borderId="73" xfId="14" applyFont="1" applyBorder="1" applyProtection="1">
      <protection locked="0"/>
    </xf>
    <xf numFmtId="3" fontId="25" fillId="0" borderId="74" xfId="1" applyNumberFormat="1" applyFont="1" applyBorder="1" applyProtection="1">
      <protection locked="0"/>
    </xf>
    <xf numFmtId="3" fontId="25" fillId="0" borderId="55" xfId="1" applyNumberFormat="1" applyFont="1" applyBorder="1" applyProtection="1">
      <protection locked="0"/>
    </xf>
    <xf numFmtId="0" fontId="32" fillId="9" borderId="0" xfId="0" applyFont="1" applyFill="1"/>
    <xf numFmtId="3" fontId="32" fillId="9" borderId="16" xfId="0" applyNumberFormat="1" applyFont="1" applyFill="1" applyBorder="1"/>
    <xf numFmtId="3" fontId="32" fillId="9" borderId="0" xfId="0" applyNumberFormat="1" applyFont="1" applyFill="1"/>
    <xf numFmtId="3" fontId="12" fillId="4" borderId="16" xfId="0" applyNumberFormat="1" applyFont="1" applyFill="1" applyBorder="1" applyProtection="1">
      <protection locked="0"/>
    </xf>
    <xf numFmtId="3" fontId="12" fillId="0" borderId="16" xfId="0" applyNumberFormat="1" applyFont="1" applyBorder="1"/>
    <xf numFmtId="3" fontId="12" fillId="0" borderId="0" xfId="0" applyNumberFormat="1" applyFont="1" applyAlignment="1">
      <alignment horizontal="center"/>
    </xf>
    <xf numFmtId="3" fontId="32" fillId="9" borderId="0" xfId="0" applyNumberFormat="1" applyFont="1" applyFill="1" applyAlignment="1">
      <alignment horizontal="center"/>
    </xf>
    <xf numFmtId="3" fontId="32" fillId="9" borderId="45" xfId="0" applyNumberFormat="1" applyFont="1" applyFill="1" applyBorder="1" applyAlignment="1">
      <alignment horizontal="center"/>
    </xf>
    <xf numFmtId="0" fontId="42" fillId="9" borderId="0" xfId="0" applyFont="1" applyFill="1" applyAlignment="1">
      <alignment horizontal="center"/>
    </xf>
    <xf numFmtId="0" fontId="31" fillId="9" borderId="0" xfId="0" applyFont="1" applyFill="1"/>
    <xf numFmtId="3" fontId="12" fillId="4" borderId="78" xfId="87" applyFont="1" applyFill="1" applyBorder="1" applyProtection="1">
      <protection locked="0"/>
    </xf>
    <xf numFmtId="3" fontId="37" fillId="4" borderId="77" xfId="87" applyFont="1" applyFill="1" applyBorder="1" applyProtection="1">
      <protection locked="0"/>
    </xf>
    <xf numFmtId="3" fontId="37" fillId="4" borderId="79" xfId="1" applyNumberFormat="1" applyFont="1" applyFill="1" applyBorder="1" applyProtection="1">
      <protection locked="0"/>
    </xf>
    <xf numFmtId="0" fontId="12" fillId="0" borderId="67" xfId="0" applyFont="1" applyBorder="1"/>
    <xf numFmtId="3" fontId="12" fillId="0" borderId="75" xfId="0" applyNumberFormat="1" applyFont="1" applyBorder="1" applyAlignment="1">
      <alignment horizontal="center"/>
    </xf>
    <xf numFmtId="177" fontId="12" fillId="0" borderId="75" xfId="0" applyNumberFormat="1" applyFont="1" applyBorder="1" applyAlignment="1">
      <alignment horizontal="center"/>
    </xf>
    <xf numFmtId="3" fontId="12" fillId="0" borderId="67" xfId="0" applyNumberFormat="1" applyFont="1" applyBorder="1" applyAlignment="1">
      <alignment horizontal="center"/>
    </xf>
    <xf numFmtId="0" fontId="12" fillId="0" borderId="5" xfId="0" applyFont="1" applyFill="1" applyBorder="1"/>
    <xf numFmtId="3" fontId="12" fillId="0" borderId="16" xfId="0" applyNumberFormat="1" applyFont="1" applyBorder="1" applyAlignment="1">
      <alignment horizontal="center"/>
    </xf>
    <xf numFmtId="3" fontId="12" fillId="0" borderId="76" xfId="0" applyNumberFormat="1" applyFont="1" applyBorder="1" applyAlignment="1">
      <alignment horizontal="center"/>
    </xf>
    <xf numFmtId="0" fontId="40" fillId="8" borderId="7" xfId="0" applyFont="1" applyFill="1" applyBorder="1" applyProtection="1"/>
    <xf numFmtId="0" fontId="40" fillId="8" borderId="18" xfId="0" applyFont="1" applyFill="1" applyBorder="1" applyProtection="1"/>
    <xf numFmtId="0" fontId="12" fillId="8" borderId="18" xfId="0" applyFont="1" applyFill="1" applyBorder="1" applyAlignment="1" applyProtection="1">
      <alignment horizontal="center"/>
    </xf>
    <xf numFmtId="0" fontId="12" fillId="8" borderId="18" xfId="0" applyFont="1" applyFill="1" applyBorder="1" applyProtection="1"/>
    <xf numFmtId="0" fontId="12" fillId="8" borderId="13" xfId="0" applyFont="1" applyFill="1" applyBorder="1" applyProtection="1"/>
    <xf numFmtId="0" fontId="12" fillId="8" borderId="5" xfId="0" applyFont="1" applyFill="1" applyBorder="1" applyProtection="1"/>
    <xf numFmtId="0" fontId="12" fillId="8" borderId="0" xfId="0" applyFont="1" applyFill="1" applyBorder="1" applyAlignment="1" applyProtection="1">
      <alignment horizontal="right"/>
    </xf>
    <xf numFmtId="0" fontId="12" fillId="8" borderId="10" xfId="0" applyFont="1" applyFill="1" applyBorder="1" applyProtection="1"/>
    <xf numFmtId="0" fontId="12" fillId="8" borderId="17" xfId="0" applyFont="1" applyFill="1" applyBorder="1" applyAlignment="1" applyProtection="1">
      <alignment horizontal="right"/>
    </xf>
    <xf numFmtId="0" fontId="12" fillId="0" borderId="0" xfId="0" applyFont="1" applyAlignment="1" applyProtection="1">
      <alignment horizontal="right"/>
    </xf>
    <xf numFmtId="3" fontId="12" fillId="0" borderId="0" xfId="0" applyNumberFormat="1" applyFont="1" applyFill="1" applyBorder="1" applyProtection="1"/>
    <xf numFmtId="3" fontId="12" fillId="0" borderId="16" xfId="0" applyNumberFormat="1" applyFont="1" applyBorder="1" applyProtection="1"/>
    <xf numFmtId="0" fontId="12" fillId="0" borderId="0" xfId="0" applyFont="1" applyAlignment="1" applyProtection="1">
      <alignment horizontal="center"/>
    </xf>
    <xf numFmtId="3" fontId="12" fillId="0" borderId="0" xfId="0" applyNumberFormat="1" applyFont="1" applyAlignment="1" applyProtection="1">
      <alignment horizontal="center"/>
    </xf>
    <xf numFmtId="3" fontId="32" fillId="9" borderId="0" xfId="0" applyNumberFormat="1" applyFont="1" applyFill="1" applyAlignment="1" applyProtection="1">
      <alignment horizontal="center"/>
    </xf>
    <xf numFmtId="3" fontId="12" fillId="0" borderId="2" xfId="0" applyNumberFormat="1" applyFont="1" applyBorder="1" applyProtection="1"/>
    <xf numFmtId="3" fontId="15" fillId="0" borderId="16" xfId="0" applyNumberFormat="1" applyFont="1" applyBorder="1" applyProtection="1"/>
    <xf numFmtId="3" fontId="32" fillId="9" borderId="45" xfId="0" applyNumberFormat="1" applyFont="1" applyFill="1" applyBorder="1" applyAlignment="1" applyProtection="1">
      <alignment horizontal="center"/>
    </xf>
    <xf numFmtId="0" fontId="40" fillId="0" borderId="0" xfId="0" applyFont="1" applyProtection="1"/>
    <xf numFmtId="0" fontId="33" fillId="0" borderId="0" xfId="0" applyFont="1" applyProtection="1"/>
    <xf numFmtId="177" fontId="12" fillId="4" borderId="16" xfId="0" applyNumberFormat="1" applyFont="1" applyFill="1" applyBorder="1" applyAlignment="1" applyProtection="1">
      <alignment horizontal="center"/>
      <protection locked="0"/>
    </xf>
    <xf numFmtId="177" fontId="12" fillId="4" borderId="16" xfId="0" applyNumberFormat="1" applyFont="1" applyFill="1" applyBorder="1" applyProtection="1">
      <protection locked="0"/>
    </xf>
    <xf numFmtId="3" fontId="15" fillId="6" borderId="63" xfId="14" applyFont="1" applyFill="1" applyBorder="1" applyAlignment="1" applyProtection="1">
      <alignment horizontal="center"/>
    </xf>
    <xf numFmtId="3" fontId="15" fillId="6" borderId="64" xfId="14" applyFont="1" applyFill="1" applyBorder="1" applyProtection="1"/>
    <xf numFmtId="1" fontId="38" fillId="6" borderId="65" xfId="14" applyNumberFormat="1" applyFont="1" applyFill="1" applyBorder="1" applyAlignment="1" applyProtection="1">
      <alignment horizontal="center"/>
    </xf>
    <xf numFmtId="1" fontId="38" fillId="6" borderId="66" xfId="14" applyNumberFormat="1" applyFont="1" applyFill="1" applyBorder="1" applyAlignment="1" applyProtection="1">
      <alignment horizontal="center"/>
    </xf>
    <xf numFmtId="3" fontId="12" fillId="0" borderId="38" xfId="14" applyFont="1" applyBorder="1" applyAlignment="1" applyProtection="1">
      <alignment horizontal="center"/>
    </xf>
    <xf numFmtId="3" fontId="12" fillId="0" borderId="72" xfId="14" applyFont="1" applyBorder="1" applyAlignment="1" applyProtection="1">
      <alignment horizontal="center"/>
    </xf>
    <xf numFmtId="3" fontId="39" fillId="0" borderId="73" xfId="14" applyFont="1" applyBorder="1" applyProtection="1"/>
    <xf numFmtId="3" fontId="25" fillId="0" borderId="74" xfId="1" applyNumberFormat="1" applyFont="1" applyBorder="1" applyProtection="1"/>
    <xf numFmtId="3" fontId="25" fillId="0" borderId="55" xfId="1" applyNumberFormat="1" applyFont="1" applyBorder="1" applyProtection="1"/>
    <xf numFmtId="0" fontId="32" fillId="9" borderId="0" xfId="0" applyFont="1" applyFill="1" applyProtection="1"/>
    <xf numFmtId="3" fontId="32" fillId="9" borderId="0" xfId="0" applyNumberFormat="1" applyFont="1" applyFill="1" applyBorder="1" applyProtection="1"/>
    <xf numFmtId="3" fontId="32" fillId="9" borderId="0" xfId="0" applyNumberFormat="1" applyFont="1" applyFill="1" applyProtection="1"/>
    <xf numFmtId="3" fontId="32" fillId="9" borderId="16" xfId="0" applyNumberFormat="1" applyFont="1" applyFill="1" applyBorder="1" applyProtection="1"/>
    <xf numFmtId="0" fontId="31" fillId="0" borderId="0" xfId="0" applyFont="1" applyProtection="1"/>
    <xf numFmtId="0" fontId="42" fillId="9" borderId="0" xfId="0" applyFont="1" applyFill="1" applyAlignment="1" applyProtection="1">
      <alignment horizontal="center"/>
    </xf>
    <xf numFmtId="0" fontId="31" fillId="9" borderId="0" xfId="0" applyFont="1" applyFill="1" applyProtection="1"/>
    <xf numFmtId="3" fontId="31" fillId="9" borderId="0" xfId="0" applyNumberFormat="1" applyFont="1" applyFill="1" applyAlignment="1" applyProtection="1">
      <alignment horizontal="center"/>
    </xf>
    <xf numFmtId="3" fontId="12" fillId="0" borderId="77" xfId="14" applyFont="1" applyBorder="1" applyAlignment="1" applyProtection="1">
      <alignment horizontal="center"/>
    </xf>
    <xf numFmtId="0" fontId="41" fillId="0" borderId="0" xfId="77" applyFont="1" applyProtection="1"/>
    <xf numFmtId="3" fontId="15" fillId="0" borderId="0" xfId="0" applyNumberFormat="1" applyFont="1" applyProtection="1"/>
    <xf numFmtId="3" fontId="15" fillId="10" borderId="0" xfId="0" applyNumberFormat="1" applyFont="1" applyFill="1" applyProtection="1"/>
    <xf numFmtId="0" fontId="43" fillId="0" borderId="0" xfId="0" applyFont="1"/>
    <xf numFmtId="0" fontId="33" fillId="0" borderId="0" xfId="0" applyFont="1" applyAlignment="1">
      <alignment wrapText="1"/>
    </xf>
    <xf numFmtId="0" fontId="44" fillId="0" borderId="0" xfId="0" applyFont="1" applyProtection="1"/>
    <xf numFmtId="174" fontId="12" fillId="0" borderId="0" xfId="2" applyNumberFormat="1" applyFont="1" applyProtection="1"/>
    <xf numFmtId="3" fontId="12" fillId="8" borderId="0" xfId="0" applyNumberFormat="1" applyFont="1" applyFill="1" applyBorder="1" applyProtection="1"/>
    <xf numFmtId="3" fontId="40" fillId="8" borderId="0" xfId="0" applyNumberFormat="1" applyFont="1" applyFill="1" applyBorder="1" applyProtection="1"/>
    <xf numFmtId="3" fontId="40" fillId="8" borderId="11" xfId="0" applyNumberFormat="1" applyFont="1" applyFill="1" applyBorder="1" applyProtection="1"/>
    <xf numFmtId="3" fontId="12" fillId="8" borderId="17" xfId="0" applyNumberFormat="1" applyFont="1" applyFill="1" applyBorder="1" applyProtection="1"/>
    <xf numFmtId="3" fontId="40" fillId="8" borderId="17" xfId="0" applyNumberFormat="1" applyFont="1" applyFill="1" applyBorder="1" applyProtection="1"/>
    <xf numFmtId="3" fontId="40" fillId="8" borderId="12" xfId="0" applyNumberFormat="1" applyFont="1" applyFill="1" applyBorder="1" applyProtection="1"/>
    <xf numFmtId="3" fontId="12" fillId="0" borderId="0" xfId="0" applyNumberFormat="1" applyFont="1" applyAlignment="1" applyProtection="1">
      <alignment wrapText="1"/>
    </xf>
    <xf numFmtId="0" fontId="12" fillId="0" borderId="0" xfId="0" applyFont="1" applyAlignment="1" applyProtection="1">
      <alignment wrapText="1"/>
    </xf>
    <xf numFmtId="174" fontId="12" fillId="0" borderId="16" xfId="2" applyNumberFormat="1" applyFont="1" applyBorder="1" applyProtection="1"/>
    <xf numFmtId="3" fontId="45" fillId="0" borderId="0" xfId="0" applyNumberFormat="1" applyFont="1" applyFill="1" applyProtection="1"/>
    <xf numFmtId="3" fontId="45" fillId="0" borderId="0" xfId="0" applyNumberFormat="1" applyFont="1" applyFill="1" applyAlignment="1" applyProtection="1">
      <alignment horizontal="right"/>
    </xf>
    <xf numFmtId="0" fontId="45" fillId="0" borderId="0" xfId="0" applyFont="1" applyFill="1" applyAlignment="1" applyProtection="1">
      <alignment horizontal="right"/>
    </xf>
    <xf numFmtId="178" fontId="12" fillId="0" borderId="0" xfId="0" applyNumberFormat="1" applyFont="1"/>
    <xf numFmtId="0" fontId="15" fillId="0" borderId="8" xfId="0" applyFont="1" applyBorder="1"/>
    <xf numFmtId="0" fontId="0" fillId="0" borderId="0" xfId="0" applyFont="1" applyProtection="1"/>
    <xf numFmtId="0" fontId="0" fillId="0" borderId="80" xfId="0" applyFont="1" applyBorder="1" applyProtection="1"/>
    <xf numFmtId="0" fontId="48" fillId="0" borderId="67" xfId="77" applyFont="1" applyBorder="1" applyAlignment="1" applyProtection="1">
      <alignment horizontal="center"/>
    </xf>
    <xf numFmtId="0" fontId="48" fillId="0" borderId="80" xfId="77" applyFont="1" applyBorder="1" applyAlignment="1" applyProtection="1">
      <alignment horizontal="center"/>
    </xf>
    <xf numFmtId="0" fontId="12" fillId="4" borderId="16" xfId="0" applyNumberFormat="1" applyFont="1" applyFill="1" applyBorder="1" applyProtection="1">
      <protection locked="0"/>
    </xf>
    <xf numFmtId="0" fontId="2" fillId="0" borderId="0" xfId="98"/>
    <xf numFmtId="0" fontId="47" fillId="0" borderId="5" xfId="98" applyFont="1" applyBorder="1" applyAlignment="1">
      <alignment horizontal="center"/>
    </xf>
    <xf numFmtId="0" fontId="47" fillId="0" borderId="11" xfId="98" applyFont="1" applyBorder="1"/>
    <xf numFmtId="3" fontId="47" fillId="0" borderId="4" xfId="98" applyNumberFormat="1" applyFont="1" applyBorder="1"/>
    <xf numFmtId="3" fontId="47" fillId="0" borderId="3" xfId="98" applyNumberFormat="1" applyFont="1" applyBorder="1" applyAlignment="1">
      <alignment horizontal="right"/>
    </xf>
    <xf numFmtId="165" fontId="47" fillId="0" borderId="5" xfId="98" applyNumberFormat="1" applyFont="1" applyBorder="1" applyAlignment="1">
      <alignment horizontal="center"/>
    </xf>
    <xf numFmtId="165" fontId="47" fillId="0" borderId="11" xfId="98" applyNumberFormat="1" applyFont="1" applyBorder="1"/>
    <xf numFmtId="165" fontId="47" fillId="0" borderId="4" xfId="98" applyNumberFormat="1" applyFont="1" applyBorder="1"/>
    <xf numFmtId="165" fontId="47" fillId="0" borderId="3" xfId="98" applyNumberFormat="1" applyFont="1" applyBorder="1" applyAlignment="1">
      <alignment horizontal="right"/>
    </xf>
    <xf numFmtId="0" fontId="47" fillId="0" borderId="10" xfId="98" applyFont="1" applyBorder="1" applyAlignment="1">
      <alignment horizontal="center"/>
    </xf>
    <xf numFmtId="0" fontId="47" fillId="0" borderId="12" xfId="98" applyFont="1" applyBorder="1"/>
    <xf numFmtId="3" fontId="47" fillId="0" borderId="9" xfId="98" applyNumberFormat="1" applyFont="1" applyBorder="1"/>
    <xf numFmtId="165" fontId="47" fillId="0" borderId="8" xfId="98" applyNumberFormat="1" applyFont="1" applyBorder="1"/>
    <xf numFmtId="0" fontId="47" fillId="0" borderId="11" xfId="98" applyFont="1" applyBorder="1" applyAlignment="1">
      <alignment horizontal="center"/>
    </xf>
    <xf numFmtId="3" fontId="47" fillId="0" borderId="4" xfId="98" applyNumberFormat="1" applyFont="1" applyBorder="1" applyAlignment="1">
      <alignment horizontal="center"/>
    </xf>
    <xf numFmtId="3" fontId="47" fillId="0" borderId="3" xfId="98" applyNumberFormat="1" applyFont="1" applyBorder="1" applyAlignment="1">
      <alignment horizontal="center"/>
    </xf>
    <xf numFmtId="0" fontId="47" fillId="0" borderId="3" xfId="98" applyFont="1" applyBorder="1"/>
    <xf numFmtId="3" fontId="47" fillId="0" borderId="3" xfId="98" applyNumberFormat="1" applyFont="1" applyFill="1" applyBorder="1"/>
    <xf numFmtId="0" fontId="47" fillId="0" borderId="8" xfId="98" applyFont="1" applyBorder="1"/>
    <xf numFmtId="3" fontId="47" fillId="0" borderId="8" xfId="98" applyNumberFormat="1" applyFont="1" applyFill="1" applyBorder="1"/>
    <xf numFmtId="3" fontId="47" fillId="0" borderId="90" xfId="98" applyNumberFormat="1" applyFont="1" applyBorder="1"/>
    <xf numFmtId="3" fontId="47" fillId="0" borderId="1" xfId="98" applyNumberFormat="1" applyFont="1" applyFill="1" applyBorder="1"/>
    <xf numFmtId="0" fontId="47" fillId="0" borderId="87" xfId="98" applyFont="1" applyBorder="1" applyAlignment="1">
      <alignment horizontal="center"/>
    </xf>
    <xf numFmtId="0" fontId="47" fillId="0" borderId="88" xfId="98" applyFont="1" applyBorder="1"/>
    <xf numFmtId="4" fontId="47" fillId="0" borderId="91" xfId="98" applyNumberFormat="1" applyFont="1" applyBorder="1"/>
    <xf numFmtId="3" fontId="47" fillId="0" borderId="88" xfId="98" applyNumberFormat="1" applyFont="1" applyBorder="1"/>
    <xf numFmtId="0" fontId="47" fillId="0" borderId="7" xfId="98" applyFont="1" applyBorder="1" applyAlignment="1">
      <alignment horizontal="center"/>
    </xf>
    <xf numFmtId="0" fontId="47" fillId="0" borderId="6" xfId="98" applyFont="1" applyBorder="1"/>
    <xf numFmtId="3" fontId="47" fillId="0" borderId="92" xfId="98" applyNumberFormat="1" applyFont="1" applyBorder="1"/>
    <xf numFmtId="3" fontId="47" fillId="0" borderId="6" xfId="98" applyNumberFormat="1" applyFont="1" applyBorder="1" applyAlignment="1">
      <alignment horizontal="right"/>
    </xf>
    <xf numFmtId="0" fontId="47" fillId="0" borderId="1" xfId="98" applyFont="1" applyBorder="1"/>
    <xf numFmtId="3" fontId="47" fillId="0" borderId="1" xfId="98" applyNumberFormat="1" applyFont="1" applyBorder="1" applyAlignment="1">
      <alignment horizontal="right"/>
    </xf>
    <xf numFmtId="0" fontId="47" fillId="0" borderId="2" xfId="98" applyFont="1" applyBorder="1" applyAlignment="1">
      <alignment horizontal="center"/>
    </xf>
    <xf numFmtId="10" fontId="12" fillId="0" borderId="0" xfId="2" applyNumberFormat="1" applyFont="1" applyProtection="1"/>
    <xf numFmtId="10" fontId="12" fillId="0" borderId="0" xfId="0" applyNumberFormat="1" applyFont="1" applyProtection="1"/>
    <xf numFmtId="0" fontId="50" fillId="0" borderId="0" xfId="0" applyFont="1"/>
    <xf numFmtId="0" fontId="0" fillId="0" borderId="0" xfId="0" applyFont="1"/>
    <xf numFmtId="0" fontId="35" fillId="0" borderId="0" xfId="0" applyFont="1"/>
    <xf numFmtId="0" fontId="15" fillId="8" borderId="93" xfId="0" applyFont="1" applyFill="1" applyBorder="1"/>
    <xf numFmtId="0" fontId="15" fillId="8" borderId="94" xfId="0" applyFont="1" applyFill="1" applyBorder="1"/>
    <xf numFmtId="0" fontId="0" fillId="11" borderId="95" xfId="0" applyFont="1" applyFill="1" applyBorder="1"/>
    <xf numFmtId="1" fontId="39" fillId="12" borderId="96" xfId="0" applyNumberFormat="1" applyFont="1" applyFill="1" applyBorder="1" applyAlignment="1">
      <alignment horizontal="center"/>
    </xf>
    <xf numFmtId="3" fontId="51" fillId="13" borderId="99" xfId="0" applyNumberFormat="1" applyFont="1" applyFill="1" applyBorder="1"/>
    <xf numFmtId="3" fontId="51" fillId="13" borderId="100" xfId="0" applyNumberFormat="1" applyFont="1" applyFill="1" applyBorder="1"/>
    <xf numFmtId="0" fontId="0" fillId="11" borderId="101" xfId="0" applyFont="1" applyFill="1" applyBorder="1"/>
    <xf numFmtId="0" fontId="0" fillId="11" borderId="102" xfId="0" applyFont="1" applyFill="1" applyBorder="1"/>
    <xf numFmtId="3" fontId="0" fillId="11" borderId="103" xfId="0" applyNumberFormat="1" applyFont="1" applyFill="1" applyBorder="1"/>
    <xf numFmtId="3" fontId="52" fillId="4" borderId="0" xfId="0" applyNumberFormat="1" applyFont="1" applyFill="1" applyBorder="1" applyProtection="1">
      <protection locked="0"/>
    </xf>
    <xf numFmtId="3" fontId="52" fillId="14" borderId="104" xfId="0" applyNumberFormat="1" applyFont="1" applyFill="1" applyBorder="1" applyProtection="1">
      <protection locked="0"/>
    </xf>
    <xf numFmtId="3" fontId="37" fillId="15" borderId="105" xfId="0" applyNumberFormat="1" applyFont="1" applyFill="1" applyBorder="1" applyProtection="1">
      <protection locked="0"/>
    </xf>
    <xf numFmtId="3" fontId="52" fillId="13" borderId="3" xfId="0" applyNumberFormat="1" applyFont="1" applyFill="1" applyBorder="1"/>
    <xf numFmtId="0" fontId="0" fillId="8" borderId="90" xfId="0" applyFill="1" applyBorder="1"/>
    <xf numFmtId="0" fontId="0" fillId="8" borderId="106" xfId="0" applyFill="1" applyBorder="1"/>
    <xf numFmtId="3" fontId="0" fillId="11" borderId="107" xfId="0" applyNumberFormat="1" applyFont="1" applyFill="1" applyBorder="1"/>
    <xf numFmtId="3" fontId="52" fillId="14" borderId="107" xfId="0" applyNumberFormat="1" applyFont="1" applyFill="1" applyBorder="1" applyProtection="1">
      <protection locked="0"/>
    </xf>
    <xf numFmtId="0" fontId="0" fillId="13" borderId="3" xfId="0" applyFont="1" applyFill="1" applyBorder="1"/>
    <xf numFmtId="3" fontId="52" fillId="14" borderId="108" xfId="0" applyNumberFormat="1" applyFont="1" applyFill="1" applyBorder="1" applyProtection="1">
      <protection locked="0"/>
    </xf>
    <xf numFmtId="3" fontId="53" fillId="13" borderId="105" xfId="0" applyNumberFormat="1" applyFont="1" applyFill="1" applyBorder="1"/>
    <xf numFmtId="0" fontId="15" fillId="11" borderId="109" xfId="0" applyFont="1" applyFill="1" applyBorder="1" applyAlignment="1"/>
    <xf numFmtId="0" fontId="54" fillId="11" borderId="110" xfId="0" applyFont="1" applyFill="1" applyBorder="1"/>
    <xf numFmtId="3" fontId="0" fillId="11" borderId="0" xfId="0" applyNumberFormat="1" applyFont="1" applyFill="1" applyBorder="1"/>
    <xf numFmtId="3" fontId="3" fillId="12" borderId="103" xfId="1" applyNumberFormat="1" applyFill="1" applyBorder="1" applyAlignment="1">
      <alignment horizontal="center"/>
    </xf>
    <xf numFmtId="3" fontId="0" fillId="13" borderId="111" xfId="0" applyNumberFormat="1" applyFont="1" applyFill="1" applyBorder="1"/>
    <xf numFmtId="0" fontId="0" fillId="11" borderId="112" xfId="0" applyFont="1" applyFill="1" applyBorder="1"/>
    <xf numFmtId="3" fontId="0" fillId="11" borderId="113" xfId="0" applyNumberFormat="1" applyFont="1" applyFill="1" applyBorder="1"/>
    <xf numFmtId="3" fontId="52" fillId="4" borderId="16" xfId="0" applyNumberFormat="1" applyFont="1" applyFill="1" applyBorder="1" applyProtection="1">
      <protection locked="0"/>
    </xf>
    <xf numFmtId="3" fontId="52" fillId="4" borderId="37" xfId="0" applyNumberFormat="1" applyFont="1" applyFill="1" applyBorder="1" applyProtection="1">
      <protection locked="0"/>
    </xf>
    <xf numFmtId="0" fontId="55" fillId="13" borderId="88" xfId="0" applyNumberFormat="1" applyFont="1" applyFill="1" applyBorder="1"/>
    <xf numFmtId="3" fontId="0" fillId="11" borderId="116" xfId="0" applyNumberFormat="1" applyFont="1" applyFill="1" applyBorder="1"/>
    <xf numFmtId="3" fontId="52" fillId="14" borderId="116" xfId="0" applyNumberFormat="1" applyFont="1" applyFill="1" applyBorder="1" applyProtection="1">
      <protection locked="0"/>
    </xf>
    <xf numFmtId="3" fontId="52" fillId="14" borderId="117" xfId="0" applyNumberFormat="1" applyFont="1" applyFill="1" applyBorder="1" applyProtection="1">
      <protection locked="0"/>
    </xf>
    <xf numFmtId="3" fontId="0" fillId="0" borderId="0" xfId="0" applyNumberFormat="1" applyFont="1"/>
    <xf numFmtId="3" fontId="0" fillId="11" borderId="108" xfId="0" applyNumberFormat="1" applyFill="1" applyBorder="1"/>
    <xf numFmtId="0" fontId="0" fillId="11" borderId="109" xfId="0" applyFont="1" applyFill="1" applyBorder="1"/>
    <xf numFmtId="1" fontId="39" fillId="12" borderId="118" xfId="0" applyNumberFormat="1" applyFont="1" applyFill="1" applyBorder="1" applyAlignment="1">
      <alignment horizontal="center"/>
    </xf>
    <xf numFmtId="3" fontId="56" fillId="12" borderId="103" xfId="0" applyNumberFormat="1" applyFont="1" applyFill="1" applyBorder="1" applyAlignment="1">
      <alignment horizontal="right"/>
    </xf>
    <xf numFmtId="0" fontId="0" fillId="0" borderId="0" xfId="0" applyFont="1" applyBorder="1"/>
    <xf numFmtId="1" fontId="39" fillId="0" borderId="0" xfId="0" applyNumberFormat="1" applyFont="1" applyFill="1" applyBorder="1" applyAlignment="1">
      <alignment horizontal="center"/>
    </xf>
    <xf numFmtId="3" fontId="0" fillId="0" borderId="0" xfId="0" applyNumberFormat="1" applyFont="1" applyFill="1" applyBorder="1"/>
    <xf numFmtId="0" fontId="0" fillId="11" borderId="110" xfId="0" applyFont="1" applyFill="1" applyBorder="1"/>
    <xf numFmtId="3" fontId="52" fillId="12" borderId="112" xfId="0" applyNumberFormat="1" applyFont="1" applyFill="1" applyBorder="1" applyAlignment="1">
      <alignment horizontal="center"/>
    </xf>
    <xf numFmtId="0" fontId="52" fillId="4" borderId="16" xfId="0" applyFont="1" applyFill="1" applyBorder="1" applyAlignment="1" applyProtection="1">
      <alignment horizontal="center"/>
      <protection locked="0"/>
    </xf>
    <xf numFmtId="0" fontId="52" fillId="4" borderId="37" xfId="0" applyFont="1" applyFill="1" applyBorder="1" applyAlignment="1" applyProtection="1">
      <alignment horizontal="center"/>
      <protection locked="0"/>
    </xf>
    <xf numFmtId="3" fontId="0" fillId="0" borderId="0" xfId="0" applyNumberFormat="1" applyFont="1" applyFill="1" applyBorder="1" applyAlignment="1">
      <alignment horizontal="center"/>
    </xf>
    <xf numFmtId="0" fontId="0" fillId="11" borderId="119" xfId="0" applyFont="1" applyFill="1" applyBorder="1" applyAlignment="1"/>
    <xf numFmtId="0" fontId="0" fillId="11" borderId="120" xfId="0" applyFont="1" applyFill="1" applyBorder="1" applyAlignment="1"/>
    <xf numFmtId="3" fontId="52" fillId="12" borderId="121" xfId="0" applyNumberFormat="1" applyFont="1" applyFill="1" applyBorder="1" applyAlignment="1">
      <alignment horizontal="center"/>
    </xf>
    <xf numFmtId="3" fontId="0" fillId="0" borderId="0" xfId="0" applyNumberFormat="1" applyFont="1" applyBorder="1"/>
    <xf numFmtId="0" fontId="0" fillId="11" borderId="122" xfId="0" applyFont="1" applyFill="1" applyBorder="1" applyAlignment="1"/>
    <xf numFmtId="0" fontId="0" fillId="11" borderId="123" xfId="0" applyFont="1" applyFill="1" applyBorder="1" applyAlignment="1"/>
    <xf numFmtId="4" fontId="53" fillId="12" borderId="124" xfId="0" applyNumberFormat="1" applyFont="1" applyFill="1" applyBorder="1" applyAlignment="1">
      <alignment horizontal="center"/>
    </xf>
    <xf numFmtId="4" fontId="53" fillId="16" borderId="124" xfId="0" applyNumberFormat="1" applyFont="1" applyFill="1" applyBorder="1" applyAlignment="1" applyProtection="1">
      <alignment horizontal="center"/>
      <protection locked="0"/>
    </xf>
    <xf numFmtId="4" fontId="53" fillId="16" borderId="125" xfId="0" applyNumberFormat="1" applyFont="1" applyFill="1" applyBorder="1" applyAlignment="1" applyProtection="1">
      <alignment horizontal="center"/>
      <protection locked="0"/>
    </xf>
    <xf numFmtId="0" fontId="57" fillId="17" borderId="0" xfId="0" applyFont="1" applyFill="1" applyBorder="1" applyAlignment="1"/>
    <xf numFmtId="4" fontId="57" fillId="18" borderId="0" xfId="0" applyNumberFormat="1" applyFont="1" applyFill="1" applyBorder="1" applyAlignment="1">
      <alignment horizontal="center"/>
    </xf>
    <xf numFmtId="3" fontId="57" fillId="18" borderId="0" xfId="0" applyNumberFormat="1" applyFont="1" applyFill="1" applyBorder="1" applyAlignment="1">
      <alignment horizontal="center"/>
    </xf>
    <xf numFmtId="0" fontId="0" fillId="19" borderId="0" xfId="0" applyFont="1" applyFill="1" applyBorder="1" applyAlignment="1"/>
    <xf numFmtId="4" fontId="53" fillId="20" borderId="0" xfId="0" applyNumberFormat="1" applyFont="1" applyFill="1" applyBorder="1" applyAlignment="1">
      <alignment horizontal="center"/>
    </xf>
    <xf numFmtId="0" fontId="15" fillId="8" borderId="97" xfId="0" applyFont="1" applyFill="1" applyBorder="1"/>
    <xf numFmtId="0" fontId="0" fillId="8" borderId="98" xfId="0" applyFont="1" applyFill="1" applyBorder="1"/>
    <xf numFmtId="0" fontId="0" fillId="8" borderId="126" xfId="0" applyFont="1" applyFill="1" applyBorder="1"/>
    <xf numFmtId="0" fontId="0" fillId="8" borderId="100" xfId="0" applyFont="1" applyFill="1" applyBorder="1"/>
    <xf numFmtId="0" fontId="0" fillId="8" borderId="4" xfId="0" applyFont="1" applyFill="1" applyBorder="1" applyAlignment="1"/>
    <xf numFmtId="0" fontId="0" fillId="8" borderId="118" xfId="0" applyFont="1" applyFill="1" applyBorder="1"/>
    <xf numFmtId="3" fontId="0" fillId="4" borderId="118" xfId="0" applyNumberFormat="1" applyFont="1" applyFill="1" applyBorder="1" applyProtection="1">
      <protection locked="0"/>
    </xf>
    <xf numFmtId="0" fontId="0" fillId="8" borderId="0" xfId="0" applyFont="1" applyFill="1" applyBorder="1"/>
    <xf numFmtId="0" fontId="0" fillId="8" borderId="3" xfId="0" applyFont="1" applyFill="1" applyBorder="1"/>
    <xf numFmtId="0" fontId="15" fillId="11" borderId="97" xfId="0" applyFont="1" applyFill="1" applyBorder="1" applyAlignment="1"/>
    <xf numFmtId="0" fontId="0" fillId="11" borderId="98" xfId="0" applyFont="1" applyFill="1" applyBorder="1" applyAlignment="1"/>
    <xf numFmtId="0" fontId="0" fillId="8" borderId="4" xfId="0" applyFont="1" applyFill="1" applyBorder="1"/>
    <xf numFmtId="0" fontId="0" fillId="11" borderId="24" xfId="0" applyFont="1" applyFill="1" applyBorder="1" applyAlignment="1"/>
    <xf numFmtId="0" fontId="0" fillId="11" borderId="16" xfId="0" applyFont="1" applyFill="1" applyBorder="1" applyAlignment="1"/>
    <xf numFmtId="0" fontId="0" fillId="8" borderId="24" xfId="0" applyFont="1" applyFill="1" applyBorder="1"/>
    <xf numFmtId="3" fontId="0" fillId="4" borderId="103" xfId="0" applyNumberFormat="1" applyFont="1" applyFill="1" applyBorder="1" applyProtection="1">
      <protection locked="0"/>
    </xf>
    <xf numFmtId="0" fontId="53" fillId="8" borderId="3" xfId="0" applyFont="1" applyFill="1" applyBorder="1"/>
    <xf numFmtId="0" fontId="15" fillId="8" borderId="109" xfId="0" applyFont="1" applyFill="1" applyBorder="1"/>
    <xf numFmtId="0" fontId="15" fillId="8" borderId="110" xfId="0" applyFont="1" applyFill="1" applyBorder="1"/>
    <xf numFmtId="0" fontId="0" fillId="8" borderId="127" xfId="0" applyFont="1" applyFill="1" applyBorder="1"/>
    <xf numFmtId="3" fontId="55" fillId="8" borderId="128" xfId="0" applyNumberFormat="1" applyFont="1" applyFill="1" applyBorder="1"/>
    <xf numFmtId="0" fontId="58" fillId="21" borderId="91" xfId="0" applyFont="1" applyFill="1" applyBorder="1"/>
    <xf numFmtId="0" fontId="58" fillId="17" borderId="114" xfId="0" applyFont="1" applyFill="1" applyBorder="1" applyAlignment="1"/>
    <xf numFmtId="3" fontId="58" fillId="18" borderId="114" xfId="0" applyNumberFormat="1" applyFont="1" applyFill="1" applyBorder="1" applyAlignment="1">
      <alignment horizontal="center"/>
    </xf>
    <xf numFmtId="3" fontId="58" fillId="18" borderId="88" xfId="0" applyNumberFormat="1" applyFont="1" applyFill="1" applyBorder="1" applyAlignment="1">
      <alignment horizontal="center"/>
    </xf>
    <xf numFmtId="0" fontId="15" fillId="8" borderId="4" xfId="0" applyFont="1" applyFill="1" applyBorder="1"/>
    <xf numFmtId="0" fontId="0" fillId="8" borderId="120" xfId="0" applyFont="1" applyFill="1" applyBorder="1"/>
    <xf numFmtId="0" fontId="0" fillId="8" borderId="107" xfId="0" applyFont="1" applyFill="1" applyBorder="1"/>
    <xf numFmtId="0" fontId="0" fillId="11" borderId="4" xfId="0" applyFont="1" applyFill="1" applyBorder="1"/>
    <xf numFmtId="0" fontId="0" fillId="11" borderId="0" xfId="0" applyFont="1" applyFill="1" applyBorder="1"/>
    <xf numFmtId="3" fontId="0" fillId="11" borderId="129" xfId="0" applyNumberFormat="1" applyFont="1" applyFill="1" applyBorder="1"/>
    <xf numFmtId="3" fontId="0" fillId="11" borderId="130" xfId="0" applyNumberFormat="1" applyFont="1" applyFill="1" applyBorder="1"/>
    <xf numFmtId="3" fontId="0" fillId="11" borderId="3" xfId="0" applyNumberFormat="1" applyFont="1" applyFill="1" applyBorder="1"/>
    <xf numFmtId="3" fontId="52" fillId="4" borderId="118" xfId="0" applyNumberFormat="1" applyFont="1" applyFill="1" applyBorder="1" applyProtection="1">
      <protection locked="0"/>
    </xf>
    <xf numFmtId="0" fontId="0" fillId="11" borderId="119" xfId="0" applyFont="1" applyFill="1" applyBorder="1"/>
    <xf numFmtId="0" fontId="0" fillId="11" borderId="113" xfId="0" applyFont="1" applyFill="1" applyBorder="1"/>
    <xf numFmtId="0" fontId="0" fillId="11" borderId="131" xfId="0" applyFont="1" applyFill="1" applyBorder="1"/>
    <xf numFmtId="0" fontId="0" fillId="11" borderId="129" xfId="0" applyFont="1" applyFill="1" applyBorder="1"/>
    <xf numFmtId="3" fontId="52" fillId="4" borderId="103" xfId="0" applyNumberFormat="1" applyFont="1" applyFill="1" applyBorder="1" applyProtection="1">
      <protection locked="0"/>
    </xf>
    <xf numFmtId="0" fontId="0" fillId="11" borderId="90" xfId="0" applyFont="1" applyFill="1" applyBorder="1"/>
    <xf numFmtId="0" fontId="0" fillId="11" borderId="106" xfId="0" applyFont="1" applyFill="1" applyBorder="1"/>
    <xf numFmtId="0" fontId="0" fillId="4" borderId="16" xfId="0" applyFill="1" applyBorder="1" applyProtection="1">
      <protection locked="0"/>
    </xf>
    <xf numFmtId="0" fontId="0" fillId="4" borderId="21" xfId="0" applyFill="1" applyBorder="1" applyProtection="1">
      <protection locked="0"/>
    </xf>
    <xf numFmtId="0" fontId="15" fillId="8" borderId="0" xfId="0" applyFont="1" applyFill="1" applyBorder="1"/>
    <xf numFmtId="3" fontId="52" fillId="4" borderId="116" xfId="0" applyNumberFormat="1" applyFont="1" applyFill="1" applyBorder="1" applyProtection="1">
      <protection locked="0"/>
    </xf>
    <xf numFmtId="0" fontId="58" fillId="21" borderId="9" xfId="0" applyFont="1" applyFill="1" applyBorder="1"/>
    <xf numFmtId="3" fontId="58" fillId="18" borderId="104" xfId="0" applyNumberFormat="1" applyFont="1" applyFill="1" applyBorder="1"/>
    <xf numFmtId="0" fontId="15" fillId="8" borderId="91" xfId="0" applyFont="1" applyFill="1" applyBorder="1"/>
    <xf numFmtId="0" fontId="15" fillId="8" borderId="114" xfId="0" applyFont="1" applyFill="1" applyBorder="1"/>
    <xf numFmtId="3" fontId="55" fillId="8" borderId="132" xfId="0" applyNumberFormat="1" applyFont="1" applyFill="1" applyBorder="1"/>
    <xf numFmtId="0" fontId="15" fillId="8" borderId="24" xfId="0" applyFont="1" applyFill="1" applyBorder="1"/>
    <xf numFmtId="3" fontId="52" fillId="4" borderId="107" xfId="0" applyNumberFormat="1" applyFont="1" applyFill="1" applyBorder="1" applyProtection="1">
      <protection locked="0"/>
    </xf>
    <xf numFmtId="3" fontId="52" fillId="4" borderId="108" xfId="0" applyNumberFormat="1" applyFont="1" applyFill="1" applyBorder="1" applyProtection="1">
      <protection locked="0"/>
    </xf>
    <xf numFmtId="0" fontId="0" fillId="8" borderId="92" xfId="0" applyFill="1" applyBorder="1"/>
    <xf numFmtId="0" fontId="0" fillId="8" borderId="13" xfId="0" applyFill="1" applyBorder="1" applyAlignment="1">
      <alignment horizontal="right"/>
    </xf>
    <xf numFmtId="0" fontId="39" fillId="4" borderId="106" xfId="0" applyFont="1" applyFill="1" applyBorder="1" applyProtection="1">
      <protection locked="0"/>
    </xf>
    <xf numFmtId="0" fontId="0" fillId="11" borderId="134" xfId="0" applyFont="1" applyFill="1" applyBorder="1"/>
    <xf numFmtId="0" fontId="39" fillId="11" borderId="135" xfId="0" applyFont="1" applyFill="1" applyBorder="1"/>
    <xf numFmtId="3" fontId="39" fillId="4" borderId="136" xfId="0" applyNumberFormat="1" applyFont="1" applyFill="1" applyBorder="1" applyProtection="1">
      <protection locked="0"/>
    </xf>
    <xf numFmtId="3" fontId="52" fillId="4" borderId="137" xfId="0" applyNumberFormat="1" applyFont="1" applyFill="1" applyBorder="1" applyProtection="1">
      <protection locked="0"/>
    </xf>
    <xf numFmtId="0" fontId="58" fillId="21" borderId="90" xfId="0" applyFont="1" applyFill="1" applyBorder="1"/>
    <xf numFmtId="0" fontId="58" fillId="21" borderId="19" xfId="0" applyFont="1" applyFill="1" applyBorder="1"/>
    <xf numFmtId="0" fontId="58" fillId="21" borderId="106" xfId="0" applyFont="1" applyFill="1" applyBorder="1"/>
    <xf numFmtId="3" fontId="58" fillId="18" borderId="133" xfId="0" applyNumberFormat="1" applyFont="1" applyFill="1" applyBorder="1"/>
    <xf numFmtId="3" fontId="0" fillId="4" borderId="107" xfId="0" applyNumberFormat="1" applyFont="1" applyFill="1" applyBorder="1" applyProtection="1">
      <protection locked="0"/>
    </xf>
    <xf numFmtId="3" fontId="0" fillId="4" borderId="108" xfId="0" applyNumberFormat="1" applyFont="1" applyFill="1" applyBorder="1" applyProtection="1">
      <protection locked="0"/>
    </xf>
    <xf numFmtId="0" fontId="0" fillId="0" borderId="0" xfId="0" applyFont="1" applyFill="1" applyBorder="1"/>
    <xf numFmtId="0" fontId="15" fillId="8" borderId="92" xfId="0" applyFont="1" applyFill="1" applyBorder="1"/>
    <xf numFmtId="0" fontId="15" fillId="8" borderId="18" xfId="0" applyFont="1" applyFill="1" applyBorder="1"/>
    <xf numFmtId="0" fontId="0" fillId="8" borderId="18" xfId="0" applyFill="1" applyBorder="1"/>
    <xf numFmtId="3" fontId="0" fillId="11" borderId="119" xfId="0" applyNumberFormat="1" applyFont="1" applyFill="1" applyBorder="1"/>
    <xf numFmtId="3" fontId="52" fillId="4" borderId="138" xfId="0" applyNumberFormat="1" applyFont="1" applyFill="1" applyBorder="1" applyProtection="1">
      <protection locked="0"/>
    </xf>
    <xf numFmtId="3" fontId="0" fillId="11" borderId="119" xfId="0" applyNumberFormat="1" applyFill="1" applyBorder="1"/>
    <xf numFmtId="3" fontId="0" fillId="11" borderId="131" xfId="0" applyNumberFormat="1" applyFont="1" applyFill="1" applyBorder="1"/>
    <xf numFmtId="0" fontId="58" fillId="21" borderId="17" xfId="0" applyFont="1" applyFill="1" applyBorder="1"/>
    <xf numFmtId="3" fontId="58" fillId="18" borderId="139" xfId="0" applyNumberFormat="1" applyFont="1" applyFill="1" applyBorder="1"/>
    <xf numFmtId="0" fontId="0" fillId="8" borderId="4" xfId="0" applyFill="1" applyBorder="1"/>
    <xf numFmtId="0" fontId="0" fillId="8" borderId="0" xfId="0" applyFill="1" applyBorder="1"/>
    <xf numFmtId="3" fontId="52" fillId="4" borderId="141" xfId="0" applyNumberFormat="1" applyFont="1" applyFill="1" applyBorder="1" applyProtection="1">
      <protection locked="0"/>
    </xf>
    <xf numFmtId="3" fontId="0" fillId="11" borderId="142" xfId="0" applyNumberFormat="1" applyFont="1" applyFill="1" applyBorder="1"/>
    <xf numFmtId="3" fontId="0" fillId="11" borderId="143" xfId="0" applyNumberFormat="1" applyFont="1" applyFill="1" applyBorder="1"/>
    <xf numFmtId="3" fontId="52" fillId="4" borderId="144" xfId="0" applyNumberFormat="1" applyFont="1" applyFill="1" applyBorder="1" applyProtection="1">
      <protection locked="0"/>
    </xf>
    <xf numFmtId="3" fontId="58" fillId="18" borderId="117" xfId="0" applyNumberFormat="1" applyFont="1" applyFill="1" applyBorder="1"/>
    <xf numFmtId="3" fontId="0" fillId="8" borderId="4" xfId="0" applyNumberFormat="1" applyFont="1" applyFill="1" applyBorder="1"/>
    <xf numFmtId="3" fontId="0" fillId="8" borderId="0" xfId="0" applyNumberFormat="1" applyFont="1" applyFill="1" applyBorder="1"/>
    <xf numFmtId="0" fontId="15" fillId="8" borderId="90" xfId="0" applyFont="1" applyFill="1" applyBorder="1"/>
    <xf numFmtId="0" fontId="15" fillId="8" borderId="106" xfId="0" applyFont="1" applyFill="1" applyBorder="1"/>
    <xf numFmtId="3" fontId="39" fillId="4" borderId="145" xfId="0" applyNumberFormat="1" applyFont="1" applyFill="1" applyBorder="1" applyProtection="1">
      <protection locked="0"/>
    </xf>
    <xf numFmtId="3" fontId="0" fillId="11" borderId="109" xfId="0" applyNumberFormat="1" applyFont="1" applyFill="1" applyBorder="1"/>
    <xf numFmtId="3" fontId="0" fillId="11" borderId="110" xfId="0" applyNumberFormat="1" applyFont="1" applyFill="1" applyBorder="1"/>
    <xf numFmtId="3" fontId="52" fillId="8" borderId="107" xfId="0" applyNumberFormat="1" applyFont="1" applyFill="1" applyBorder="1" applyProtection="1"/>
    <xf numFmtId="0" fontId="0" fillId="0" borderId="4" xfId="0" applyFont="1" applyBorder="1"/>
    <xf numFmtId="0" fontId="60" fillId="21" borderId="97" xfId="0" applyFont="1" applyFill="1" applyBorder="1"/>
    <xf numFmtId="0" fontId="60" fillId="21" borderId="98" xfId="0" applyFont="1" applyFill="1" applyBorder="1"/>
    <xf numFmtId="0" fontId="60" fillId="21" borderId="91" xfId="0" applyFont="1" applyFill="1" applyBorder="1"/>
    <xf numFmtId="0" fontId="59" fillId="21" borderId="114" xfId="0" applyFont="1" applyFill="1" applyBorder="1"/>
    <xf numFmtId="3" fontId="53" fillId="14" borderId="16" xfId="0" applyNumberFormat="1" applyFont="1" applyFill="1" applyBorder="1" applyAlignment="1">
      <alignment horizontal="center"/>
    </xf>
    <xf numFmtId="3" fontId="53" fillId="14" borderId="37" xfId="0" applyNumberFormat="1" applyFont="1" applyFill="1" applyBorder="1" applyAlignment="1">
      <alignment horizontal="center"/>
    </xf>
    <xf numFmtId="1" fontId="39" fillId="12" borderId="146" xfId="0" applyNumberFormat="1" applyFont="1" applyFill="1" applyBorder="1" applyAlignment="1">
      <alignment horizontal="center"/>
    </xf>
    <xf numFmtId="3" fontId="3" fillId="12" borderId="147" xfId="1" applyNumberFormat="1" applyFill="1" applyBorder="1" applyAlignment="1">
      <alignment horizontal="center"/>
    </xf>
    <xf numFmtId="3" fontId="56" fillId="12" borderId="139" xfId="0" applyNumberFormat="1" applyFont="1" applyFill="1" applyBorder="1" applyAlignment="1">
      <alignment horizontal="right"/>
    </xf>
    <xf numFmtId="3" fontId="56" fillId="12" borderId="147" xfId="0" applyNumberFormat="1" applyFont="1" applyFill="1" applyBorder="1" applyAlignment="1">
      <alignment horizontal="right"/>
    </xf>
    <xf numFmtId="0" fontId="15" fillId="8" borderId="98" xfId="0" applyFont="1" applyFill="1" applyBorder="1"/>
    <xf numFmtId="0" fontId="58" fillId="21" borderId="0" xfId="0" applyFont="1" applyFill="1" applyBorder="1"/>
    <xf numFmtId="0" fontId="0" fillId="8" borderId="19" xfId="0" applyFill="1" applyBorder="1"/>
    <xf numFmtId="0" fontId="15" fillId="8" borderId="19" xfId="0" applyFont="1" applyFill="1" applyBorder="1"/>
    <xf numFmtId="0" fontId="0" fillId="8" borderId="90" xfId="0" applyFill="1" applyBorder="1" applyAlignment="1"/>
    <xf numFmtId="0" fontId="0" fillId="8" borderId="106" xfId="0" applyFill="1" applyBorder="1" applyAlignment="1"/>
    <xf numFmtId="0" fontId="0" fillId="8" borderId="19" xfId="0" applyFill="1" applyBorder="1" applyAlignment="1"/>
    <xf numFmtId="0" fontId="0" fillId="8" borderId="13" xfId="0" applyFill="1" applyBorder="1"/>
    <xf numFmtId="0" fontId="0" fillId="8" borderId="18" xfId="0" applyFill="1" applyBorder="1" applyAlignment="1">
      <alignment horizontal="right"/>
    </xf>
    <xf numFmtId="0" fontId="0" fillId="11" borderId="19" xfId="0" applyFont="1" applyFill="1" applyBorder="1"/>
    <xf numFmtId="0" fontId="0" fillId="11" borderId="140" xfId="0" applyFont="1" applyFill="1" applyBorder="1"/>
    <xf numFmtId="0" fontId="0" fillId="8" borderId="17" xfId="0" applyFont="1" applyFill="1" applyBorder="1"/>
    <xf numFmtId="3" fontId="52" fillId="4" borderId="148" xfId="0" applyNumberFormat="1" applyFont="1" applyFill="1" applyBorder="1" applyProtection="1">
      <protection locked="0"/>
    </xf>
    <xf numFmtId="0" fontId="0" fillId="0" borderId="0" xfId="0" applyFont="1" applyAlignment="1">
      <alignment horizontal="center"/>
    </xf>
    <xf numFmtId="3" fontId="12" fillId="13" borderId="115" xfId="0" applyNumberFormat="1" applyFont="1" applyFill="1" applyBorder="1"/>
    <xf numFmtId="3" fontId="52" fillId="4" borderId="149" xfId="0" applyNumberFormat="1" applyFont="1" applyFill="1" applyBorder="1" applyProtection="1">
      <protection locked="0"/>
    </xf>
    <xf numFmtId="3" fontId="52" fillId="4" borderId="150" xfId="0" applyNumberFormat="1" applyFont="1" applyFill="1" applyBorder="1" applyProtection="1">
      <protection locked="0"/>
    </xf>
    <xf numFmtId="0" fontId="0" fillId="4" borderId="151" xfId="0" applyFill="1" applyBorder="1" applyProtection="1">
      <protection locked="0"/>
    </xf>
    <xf numFmtId="0" fontId="0" fillId="4" borderId="152" xfId="0" applyFill="1" applyBorder="1" applyProtection="1">
      <protection locked="0"/>
    </xf>
    <xf numFmtId="3" fontId="52" fillId="4" borderId="153" xfId="0" applyNumberFormat="1" applyFont="1" applyFill="1" applyBorder="1" applyProtection="1">
      <protection locked="0"/>
    </xf>
    <xf numFmtId="3" fontId="52" fillId="4" borderId="127" xfId="0" applyNumberFormat="1" applyFont="1" applyFill="1" applyBorder="1" applyProtection="1">
      <protection locked="0"/>
    </xf>
    <xf numFmtId="3" fontId="52" fillId="4" borderId="154" xfId="0" applyNumberFormat="1" applyFont="1" applyFill="1" applyBorder="1" applyProtection="1">
      <protection locked="0"/>
    </xf>
    <xf numFmtId="3" fontId="52" fillId="4" borderId="151" xfId="0" applyNumberFormat="1" applyFont="1" applyFill="1" applyBorder="1" applyProtection="1">
      <protection locked="0"/>
    </xf>
    <xf numFmtId="0" fontId="39" fillId="4" borderId="155" xfId="0" applyFont="1" applyFill="1" applyBorder="1" applyProtection="1">
      <protection locked="0"/>
    </xf>
    <xf numFmtId="3" fontId="39" fillId="4" borderId="156" xfId="0" applyNumberFormat="1" applyFont="1" applyFill="1" applyBorder="1" applyProtection="1">
      <protection locked="0"/>
    </xf>
    <xf numFmtId="3" fontId="52" fillId="4" borderId="157" xfId="0" applyNumberFormat="1" applyFont="1" applyFill="1" applyBorder="1" applyProtection="1">
      <protection locked="0"/>
    </xf>
    <xf numFmtId="3" fontId="0" fillId="4" borderId="127" xfId="0" applyNumberFormat="1" applyFont="1" applyFill="1" applyBorder="1" applyProtection="1">
      <protection locked="0"/>
    </xf>
    <xf numFmtId="3" fontId="0" fillId="4" borderId="154" xfId="0" applyNumberFormat="1" applyFont="1" applyFill="1" applyBorder="1" applyProtection="1">
      <protection locked="0"/>
    </xf>
    <xf numFmtId="3" fontId="52" fillId="4" borderId="158" xfId="0" applyNumberFormat="1" applyFont="1" applyFill="1" applyBorder="1" applyProtection="1">
      <protection locked="0"/>
    </xf>
    <xf numFmtId="3" fontId="52" fillId="4" borderId="159" xfId="0" applyNumberFormat="1" applyFont="1" applyFill="1" applyBorder="1" applyProtection="1">
      <protection locked="0"/>
    </xf>
    <xf numFmtId="3" fontId="39" fillId="4" borderId="160" xfId="0" applyNumberFormat="1" applyFont="1" applyFill="1" applyBorder="1" applyProtection="1">
      <protection locked="0"/>
    </xf>
    <xf numFmtId="3" fontId="52" fillId="4" borderId="161" xfId="0" applyNumberFormat="1" applyFont="1" applyFill="1" applyBorder="1" applyProtection="1">
      <protection locked="0"/>
    </xf>
    <xf numFmtId="3" fontId="52" fillId="8" borderId="127" xfId="0" applyNumberFormat="1" applyFont="1" applyFill="1" applyBorder="1" applyProtection="1"/>
    <xf numFmtId="3" fontId="61" fillId="22" borderId="162" xfId="0" applyNumberFormat="1" applyFont="1" applyFill="1" applyBorder="1"/>
    <xf numFmtId="3" fontId="62" fillId="22" borderId="163" xfId="0" applyNumberFormat="1" applyFont="1" applyFill="1" applyBorder="1"/>
    <xf numFmtId="3" fontId="61" fillId="22" borderId="94" xfId="0" applyNumberFormat="1" applyFont="1" applyFill="1" applyBorder="1"/>
    <xf numFmtId="3" fontId="62" fillId="22" borderId="164" xfId="0" applyNumberFormat="1" applyFont="1" applyFill="1" applyBorder="1"/>
    <xf numFmtId="0" fontId="58" fillId="21" borderId="4" xfId="0" applyFont="1" applyFill="1" applyBorder="1"/>
    <xf numFmtId="0" fontId="58" fillId="21" borderId="11" xfId="0" applyFont="1" applyFill="1" applyBorder="1"/>
    <xf numFmtId="3" fontId="58" fillId="18" borderId="147" xfId="0" applyNumberFormat="1" applyFont="1" applyFill="1" applyBorder="1"/>
    <xf numFmtId="0" fontId="0" fillId="8" borderId="90" xfId="0" applyFont="1" applyFill="1" applyBorder="1" applyAlignment="1">
      <alignment horizontal="center"/>
    </xf>
    <xf numFmtId="0" fontId="0" fillId="8" borderId="19" xfId="0" applyFont="1" applyFill="1" applyBorder="1" applyAlignment="1">
      <alignment horizontal="center"/>
    </xf>
    <xf numFmtId="3" fontId="52" fillId="4" borderId="165" xfId="0" applyNumberFormat="1" applyFont="1" applyFill="1" applyBorder="1" applyProtection="1">
      <protection locked="0"/>
    </xf>
    <xf numFmtId="1" fontId="39" fillId="12" borderId="166" xfId="0" applyNumberFormat="1" applyFont="1" applyFill="1" applyBorder="1" applyAlignment="1">
      <alignment horizontal="center"/>
    </xf>
    <xf numFmtId="3" fontId="0" fillId="8" borderId="0" xfId="0" applyNumberFormat="1" applyFont="1" applyFill="1" applyBorder="1" applyAlignment="1">
      <alignment horizontal="center"/>
    </xf>
    <xf numFmtId="3" fontId="53" fillId="8" borderId="3" xfId="0" applyNumberFormat="1" applyFont="1" applyFill="1" applyBorder="1" applyAlignment="1">
      <alignment horizontal="center"/>
    </xf>
    <xf numFmtId="1" fontId="50" fillId="0" borderId="0" xfId="0" applyNumberFormat="1" applyFont="1"/>
    <xf numFmtId="0" fontId="63" fillId="0" borderId="0" xfId="0" applyFont="1"/>
    <xf numFmtId="0" fontId="64" fillId="19" borderId="0" xfId="0" applyFont="1" applyFill="1" applyBorder="1" applyAlignment="1"/>
    <xf numFmtId="0" fontId="13" fillId="0" borderId="0" xfId="77"/>
    <xf numFmtId="0" fontId="32" fillId="0" borderId="0" xfId="0" applyFont="1" applyProtection="1"/>
    <xf numFmtId="0" fontId="65" fillId="0" borderId="0" xfId="0" applyFont="1" applyAlignment="1">
      <alignment horizontal="center"/>
    </xf>
    <xf numFmtId="0" fontId="66" fillId="0" borderId="7" xfId="0" applyFont="1" applyBorder="1" applyAlignment="1">
      <alignment horizontal="center"/>
    </xf>
    <xf numFmtId="0" fontId="66" fillId="0" borderId="13" xfId="0" applyFont="1" applyFill="1" applyBorder="1" applyAlignment="1">
      <alignment horizontal="center"/>
    </xf>
    <xf numFmtId="0" fontId="66" fillId="0" borderId="5" xfId="0" applyFont="1" applyBorder="1" applyAlignment="1">
      <alignment horizontal="center"/>
    </xf>
    <xf numFmtId="0" fontId="66" fillId="0" borderId="11" xfId="0" applyFont="1" applyBorder="1" applyAlignment="1">
      <alignment horizontal="center"/>
    </xf>
    <xf numFmtId="3" fontId="66" fillId="0" borderId="11" xfId="0" applyNumberFormat="1" applyFont="1" applyFill="1" applyBorder="1" applyAlignment="1">
      <alignment horizontal="center"/>
    </xf>
    <xf numFmtId="0" fontId="66" fillId="0" borderId="11" xfId="0" applyFont="1" applyFill="1" applyBorder="1" applyAlignment="1">
      <alignment horizontal="center"/>
    </xf>
    <xf numFmtId="0" fontId="66" fillId="0" borderId="10" xfId="0" applyFont="1" applyBorder="1" applyAlignment="1">
      <alignment horizontal="center"/>
    </xf>
    <xf numFmtId="0" fontId="66" fillId="0" borderId="12" xfId="0" applyFont="1" applyBorder="1" applyAlignment="1">
      <alignment horizontal="center"/>
    </xf>
    <xf numFmtId="0" fontId="66" fillId="0" borderId="0" xfId="0" applyFont="1" applyAlignment="1">
      <alignment horizontal="center"/>
    </xf>
    <xf numFmtId="0" fontId="66" fillId="0" borderId="0" xfId="0" applyFont="1"/>
    <xf numFmtId="3" fontId="66" fillId="0" borderId="7" xfId="0" applyNumberFormat="1" applyFont="1" applyFill="1" applyBorder="1" applyAlignment="1">
      <alignment horizontal="center"/>
    </xf>
    <xf numFmtId="0" fontId="66" fillId="0" borderId="13" xfId="0" applyFont="1" applyBorder="1" applyAlignment="1">
      <alignment horizontal="center"/>
    </xf>
    <xf numFmtId="3" fontId="66" fillId="0" borderId="5" xfId="0" applyNumberFormat="1" applyFont="1" applyFill="1" applyBorder="1" applyAlignment="1">
      <alignment horizontal="center"/>
    </xf>
    <xf numFmtId="3" fontId="66" fillId="0" borderId="10" xfId="0" applyNumberFormat="1" applyFont="1" applyFill="1" applyBorder="1" applyAlignment="1">
      <alignment horizontal="center"/>
    </xf>
    <xf numFmtId="0" fontId="1" fillId="0" borderId="0" xfId="98" applyFont="1"/>
    <xf numFmtId="3" fontId="59" fillId="0" borderId="0" xfId="0" applyNumberFormat="1" applyFont="1" applyProtection="1"/>
    <xf numFmtId="3" fontId="67" fillId="4" borderId="71" xfId="1" applyNumberFormat="1" applyFont="1" applyFill="1" applyBorder="1" applyProtection="1">
      <protection locked="0"/>
    </xf>
    <xf numFmtId="0" fontId="0" fillId="0" borderId="0" xfId="0" applyAlignment="1">
      <alignment horizontal="left"/>
    </xf>
    <xf numFmtId="3" fontId="47" fillId="0" borderId="89" xfId="99" applyNumberFormat="1" applyFont="1" applyBorder="1" applyAlignment="1">
      <alignment horizontal="center"/>
    </xf>
    <xf numFmtId="3" fontId="47" fillId="0" borderId="6" xfId="99" applyNumberFormat="1" applyFont="1" applyBorder="1" applyAlignment="1">
      <alignment horizontal="center"/>
    </xf>
    <xf numFmtId="0" fontId="27" fillId="0" borderId="26" xfId="0" applyFont="1" applyFill="1" applyBorder="1" applyAlignment="1" applyProtection="1">
      <alignment horizontal="center" wrapText="1"/>
    </xf>
    <xf numFmtId="0" fontId="27" fillId="0" borderId="5" xfId="0" applyFont="1" applyFill="1" applyBorder="1" applyAlignment="1" applyProtection="1">
      <alignment horizontal="center" wrapText="1"/>
    </xf>
    <xf numFmtId="0" fontId="15" fillId="0" borderId="0" xfId="0" applyFont="1" applyAlignment="1">
      <alignment horizontal="left" wrapText="1"/>
    </xf>
    <xf numFmtId="0" fontId="12" fillId="0" borderId="0" xfId="0" applyFont="1" applyAlignment="1" applyProtection="1">
      <alignment horizontal="left" wrapText="1"/>
    </xf>
    <xf numFmtId="0" fontId="0" fillId="8" borderId="91" xfId="0" applyFill="1" applyBorder="1"/>
    <xf numFmtId="0" fontId="0" fillId="8" borderId="114" xfId="0" applyFill="1" applyBorder="1"/>
    <xf numFmtId="0" fontId="0" fillId="8" borderId="97" xfId="0" applyFill="1" applyBorder="1"/>
    <xf numFmtId="0" fontId="0" fillId="8" borderId="98" xfId="0" applyFill="1" applyBorder="1"/>
    <xf numFmtId="0" fontId="0" fillId="8" borderId="4" xfId="0" applyFill="1" applyBorder="1"/>
    <xf numFmtId="0" fontId="0" fillId="8" borderId="0" xfId="0" applyFill="1" applyBorder="1"/>
  </cellXfs>
  <cellStyles count="113">
    <cellStyle name="1000-sep (2 dec) 2" xfId="3"/>
    <cellStyle name="1000-sep+,00_aktuel-aar" xfId="4"/>
    <cellStyle name="12" xfId="5"/>
    <cellStyle name="14" xfId="6"/>
    <cellStyle name="9" xfId="7"/>
    <cellStyle name="Besøgt link" xfId="26" builtinId="9" hidden="1"/>
    <cellStyle name="Besøgt link" xfId="28" builtinId="9" hidden="1"/>
    <cellStyle name="Besøgt link" xfId="30" builtinId="9" hidden="1"/>
    <cellStyle name="Besøgt link" xfId="32" builtinId="9" hidden="1"/>
    <cellStyle name="Besøgt link" xfId="34" builtinId="9" hidden="1"/>
    <cellStyle name="Besøgt link" xfId="36" builtinId="9" hidden="1"/>
    <cellStyle name="Besøgt link" xfId="38" builtinId="9" hidden="1"/>
    <cellStyle name="Besøgt link" xfId="40" builtinId="9" hidden="1"/>
    <cellStyle name="Besøgt link" xfId="42" builtinId="9" hidden="1"/>
    <cellStyle name="Besøgt link" xfId="44" builtinId="9" hidden="1"/>
    <cellStyle name="Besøgt link" xfId="46" builtinId="9" hidden="1"/>
    <cellStyle name="Besøgt link" xfId="48" builtinId="9" hidden="1"/>
    <cellStyle name="Besøgt link" xfId="50" builtinId="9" hidden="1"/>
    <cellStyle name="Besøgt link" xfId="52" builtinId="9" hidden="1"/>
    <cellStyle name="Besøgt link" xfId="54" builtinId="9" hidden="1"/>
    <cellStyle name="Besøgt link" xfId="56" builtinId="9" hidden="1"/>
    <cellStyle name="Besøgt link" xfId="58" builtinId="9" hidden="1"/>
    <cellStyle name="Besøgt link" xfId="60" builtinId="9" hidden="1"/>
    <cellStyle name="Besøgt link" xfId="62" builtinId="9" hidden="1"/>
    <cellStyle name="Besøgt link" xfId="64" builtinId="9" hidden="1"/>
    <cellStyle name="Besøgt link" xfId="66" builtinId="9" hidden="1"/>
    <cellStyle name="Besøgt link" xfId="68" builtinId="9" hidden="1"/>
    <cellStyle name="Besøgt link" xfId="70" builtinId="9" hidden="1"/>
    <cellStyle name="Besøgt link" xfId="72" builtinId="9" hidden="1"/>
    <cellStyle name="Besøgt link" xfId="74" builtinId="9" hidden="1"/>
    <cellStyle name="Besøgt link" xfId="76" builtinId="9" hidden="1"/>
    <cellStyle name="Besøgt link" xfId="78" builtinId="9" hidden="1"/>
    <cellStyle name="Besøgt link" xfId="79" builtinId="9" hidden="1"/>
    <cellStyle name="Besøgt link" xfId="80" builtinId="9" hidden="1"/>
    <cellStyle name="Besøgt link" xfId="81" builtinId="9" hidden="1"/>
    <cellStyle name="Besøgt link" xfId="82" builtinId="9" hidden="1"/>
    <cellStyle name="Besøgt link" xfId="83" builtinId="9" hidden="1"/>
    <cellStyle name="Besøgt link" xfId="84" builtinId="9" hidden="1"/>
    <cellStyle name="Besøgt link" xfId="85" builtinId="9" hidden="1"/>
    <cellStyle name="Besøgt link" xfId="86" builtinId="9" hidden="1"/>
    <cellStyle name="Besøgt link" xfId="88" builtinId="9" hidden="1"/>
    <cellStyle name="Besøgt link" xfId="89" builtinId="9" hidden="1"/>
    <cellStyle name="Besøgt link" xfId="90" builtinId="9" hidden="1"/>
    <cellStyle name="Besøgt link" xfId="91" builtinId="9" hidden="1"/>
    <cellStyle name="Besøgt link" xfId="92" builtinId="9" hidden="1"/>
    <cellStyle name="Besøgt link" xfId="93" builtinId="9" hidden="1"/>
    <cellStyle name="Besøgt link" xfId="94" builtinId="9" hidden="1"/>
    <cellStyle name="Besøgt link" xfId="95" builtinId="9" hidden="1"/>
    <cellStyle name="Besøgt link" xfId="96" builtinId="9" hidden="1"/>
    <cellStyle name="Besøgt link" xfId="97" builtinId="9" hidden="1"/>
    <cellStyle name="Besøgt link" xfId="100" builtinId="9" hidden="1"/>
    <cellStyle name="Besøgt link" xfId="101" builtinId="9" hidden="1"/>
    <cellStyle name="Besøgt link" xfId="102" builtinId="9" hidden="1"/>
    <cellStyle name="Besøgt link" xfId="103" builtinId="9" hidden="1"/>
    <cellStyle name="Besøgt link" xfId="104" builtinId="9" hidden="1"/>
    <cellStyle name="Besøgt link" xfId="105" builtinId="9" hidden="1"/>
    <cellStyle name="Besøgt link" xfId="106" builtinId="9" hidden="1"/>
    <cellStyle name="Besøgt link" xfId="107" builtinId="9" hidden="1"/>
    <cellStyle name="Besøgt link" xfId="108" builtinId="9" hidden="1"/>
    <cellStyle name="Besøgt link" xfId="109" builtinId="9" hidden="1"/>
    <cellStyle name="Besøgt link" xfId="110" builtinId="9" hidden="1"/>
    <cellStyle name="Besøgt link" xfId="111" builtinId="9" hidden="1"/>
    <cellStyle name="Besøgt link" xfId="112" builtinId="9" hidden="1"/>
    <cellStyle name="Chicago" xfId="8"/>
    <cellStyle name="Comma [0]_DelAktPl.xls" xfId="9"/>
    <cellStyle name="Comma_DelAktPl.xls" xfId="10"/>
    <cellStyle name="courier" xfId="11"/>
    <cellStyle name="courier_031SKPE.XLS" xfId="87"/>
    <cellStyle name="Currency [0]_5Straat2003.xls" xfId="12"/>
    <cellStyle name="Currency_DelAktPl.xls" xfId="13"/>
    <cellStyle name="Hyperlink" xfId="25" builtinId="8" hidden="1"/>
    <cellStyle name="Hyperlink" xfId="27" builtinId="8" hidden="1"/>
    <cellStyle name="Hyperlink" xfId="29" builtinId="8" hidden="1"/>
    <cellStyle name="Hyperlink" xfId="31" builtinId="8" hidden="1"/>
    <cellStyle name="Hyperlink" xfId="33" builtinId="8" hidden="1"/>
    <cellStyle name="Hyperlink" xfId="35" builtinId="8" hidden="1"/>
    <cellStyle name="Hyperlink" xfId="37" builtinId="8" hidden="1"/>
    <cellStyle name="Hyperlink" xfId="39" builtinId="8" hidden="1"/>
    <cellStyle name="Hyperlink" xfId="41" builtinId="8" hidden="1"/>
    <cellStyle name="Hyperlink" xfId="43" builtinId="8" hidden="1"/>
    <cellStyle name="Hyperlink" xfId="45" builtinId="8" hidden="1"/>
    <cellStyle name="Hyperlink" xfId="47" builtinId="8" hidden="1"/>
    <cellStyle name="Hyperlink" xfId="49" builtinId="8" hidden="1"/>
    <cellStyle name="Hyperlink" xfId="51" builtinId="8" hidden="1"/>
    <cellStyle name="Hyperlink" xfId="53" builtinId="8" hidden="1"/>
    <cellStyle name="Hyperlink" xfId="55" builtinId="8" hidden="1"/>
    <cellStyle name="Hyperlink" xfId="57" builtinId="8" hidden="1"/>
    <cellStyle name="Hyperlink" xfId="59" builtinId="8" hidden="1"/>
    <cellStyle name="Hyperlink" xfId="61" builtinId="8" hidden="1"/>
    <cellStyle name="Hyperlink" xfId="63" builtinId="8" hidden="1"/>
    <cellStyle name="Hyperlink" xfId="65" builtinId="8" hidden="1"/>
    <cellStyle name="Hyperlink" xfId="67" builtinId="8" hidden="1"/>
    <cellStyle name="Hyperlink" xfId="69" builtinId="8" hidden="1"/>
    <cellStyle name="Hyperlink" xfId="71" builtinId="8" hidden="1"/>
    <cellStyle name="Hyperlink" xfId="73" builtinId="8" hidden="1"/>
    <cellStyle name="Hyperlink" xfId="75" builtinId="8" hidden="1"/>
    <cellStyle name="Hyperlink" xfId="77" builtinId="8"/>
    <cellStyle name="Komma" xfId="1" builtinId="3"/>
    <cellStyle name="komma0" xfId="14"/>
    <cellStyle name="komma1" xfId="15"/>
    <cellStyle name="komma2" xfId="16"/>
    <cellStyle name="komma4" xfId="17"/>
    <cellStyle name="kr" xfId="18"/>
    <cellStyle name="Normal" xfId="0" builtinId="0"/>
    <cellStyle name="Normal 2" xfId="19"/>
    <cellStyle name="Normal 6" xfId="99"/>
    <cellStyle name="Normal 9" xfId="98"/>
    <cellStyle name="prc0" xfId="20"/>
    <cellStyle name="prc1" xfId="21"/>
    <cellStyle name="prc2" xfId="22"/>
    <cellStyle name="Procent" xfId="2" builtinId="5"/>
    <cellStyle name="skkode" xfId="23"/>
    <cellStyle name="skygget" xfId="24"/>
  </cellStyles>
  <dxfs count="0"/>
  <tableStyles count="0" defaultTableStyle="TableStyleMedium9" defaultPivotStyle="PivotStyleMedium4"/>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20" Type="http://schemas.openxmlformats.org/officeDocument/2006/relationships/worksheet" Target="worksheets/sheet20.xml"/><Relationship Id="rId21" Type="http://schemas.openxmlformats.org/officeDocument/2006/relationships/externalLink" Target="externalLinks/externalLink1.xml"/><Relationship Id="rId22" Type="http://schemas.openxmlformats.org/officeDocument/2006/relationships/theme" Target="theme/theme1.xml"/><Relationship Id="rId23" Type="http://schemas.openxmlformats.org/officeDocument/2006/relationships/styles" Target="styles.xml"/><Relationship Id="rId24" Type="http://schemas.openxmlformats.org/officeDocument/2006/relationships/sharedStrings" Target="sharedStrings.xml"/><Relationship Id="rId25" Type="http://schemas.openxmlformats.org/officeDocument/2006/relationships/calcChain" Target="calcChain.xml"/><Relationship Id="rId10" Type="http://schemas.openxmlformats.org/officeDocument/2006/relationships/worksheet" Target="worksheets/sheet10.xml"/><Relationship Id="rId11" Type="http://schemas.openxmlformats.org/officeDocument/2006/relationships/worksheet" Target="worksheets/sheet11.xml"/><Relationship Id="rId12" Type="http://schemas.openxmlformats.org/officeDocument/2006/relationships/worksheet" Target="worksheets/sheet12.xml"/><Relationship Id="rId13" Type="http://schemas.openxmlformats.org/officeDocument/2006/relationships/worksheet" Target="worksheets/sheet13.xml"/><Relationship Id="rId14" Type="http://schemas.openxmlformats.org/officeDocument/2006/relationships/worksheet" Target="worksheets/sheet14.xml"/><Relationship Id="rId15" Type="http://schemas.openxmlformats.org/officeDocument/2006/relationships/worksheet" Target="worksheets/sheet15.xml"/><Relationship Id="rId16" Type="http://schemas.openxmlformats.org/officeDocument/2006/relationships/worksheet" Target="worksheets/sheet16.xml"/><Relationship Id="rId17" Type="http://schemas.openxmlformats.org/officeDocument/2006/relationships/worksheet" Target="worksheets/sheet17.xml"/><Relationship Id="rId18" Type="http://schemas.openxmlformats.org/officeDocument/2006/relationships/worksheet" Target="worksheets/sheet18.xml"/><Relationship Id="rId19" Type="http://schemas.openxmlformats.org/officeDocument/2006/relationships/worksheet" Target="worksheets/sheet19.xml"/><Relationship Id="rId1" Type="http://schemas.openxmlformats.org/officeDocument/2006/relationships/worksheet" Target="worksheets/sheet1.xml"/><Relationship Id="rId2" Type="http://schemas.openxmlformats.org/officeDocument/2006/relationships/worksheet" Target="worksheets/sheet2.xml"/><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worksheet" Target="worksheets/sheet5.xml"/><Relationship Id="rId6" Type="http://schemas.openxmlformats.org/officeDocument/2006/relationships/worksheet" Target="worksheets/sheet6.xml"/><Relationship Id="rId7" Type="http://schemas.openxmlformats.org/officeDocument/2006/relationships/worksheet" Target="worksheets/sheet7.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7107776</xdr:colOff>
      <xdr:row>30</xdr:row>
      <xdr:rowOff>76200</xdr:rowOff>
    </xdr:to>
    <xdr:pic>
      <xdr:nvPicPr>
        <xdr:cNvPr id="3" name="Billede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7107776" cy="1005839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5</xdr:col>
      <xdr:colOff>139700</xdr:colOff>
      <xdr:row>7</xdr:row>
      <xdr:rowOff>1</xdr:rowOff>
    </xdr:from>
    <xdr:to>
      <xdr:col>8</xdr:col>
      <xdr:colOff>9525</xdr:colOff>
      <xdr:row>9</xdr:row>
      <xdr:rowOff>114300</xdr:rowOff>
    </xdr:to>
    <xdr:cxnSp macro="">
      <xdr:nvCxnSpPr>
        <xdr:cNvPr id="2" name="Lige pilforbindelse 3">
          <a:extLst>
            <a:ext uri="{FF2B5EF4-FFF2-40B4-BE49-F238E27FC236}">
              <a16:creationId xmlns="" xmlns:a16="http://schemas.microsoft.com/office/drawing/2014/main" id="{00000000-0008-0000-1200-000002000000}"/>
            </a:ext>
          </a:extLst>
        </xdr:cNvPr>
        <xdr:cNvCxnSpPr>
          <a:cxnSpLocks noChangeShapeType="1"/>
        </xdr:cNvCxnSpPr>
      </xdr:nvCxnSpPr>
      <xdr:spPr bwMode="auto">
        <a:xfrm flipV="1">
          <a:off x="6642100" y="1257301"/>
          <a:ext cx="2727325" cy="444499"/>
        </a:xfrm>
        <a:prstGeom prst="straightConnector1">
          <a:avLst/>
        </a:prstGeom>
        <a:noFill/>
        <a:ln w="25400">
          <a:solidFill>
            <a:srgbClr val="4F81BD"/>
          </a:solidFill>
          <a:round/>
          <a:headEnd/>
          <a:tailEnd type="arrow" w="med" len="med"/>
        </a:ln>
        <a:effectLst>
          <a:outerShdw blurRad="40000" dist="20000" dir="5400000" rotWithShape="0">
            <a:srgbClr val="808080">
              <a:alpha val="37999"/>
            </a:srgbClr>
          </a:outerShdw>
        </a:effectLst>
        <a:extLst>
          <a:ext uri="{909E8E84-426E-40dd-AFC4-6F175D3DCCD1}">
            <a14:hiddenFill xmlns:a14="http://schemas.microsoft.com/office/drawing/2010/main" xmlns="">
              <a:noFill/>
            </a14:hiddenFill>
          </a:ext>
        </a:extLst>
      </xdr:spPr>
    </xdr:cxn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olemikke/Desktop/transp1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nsp"/>
      <sheetName val="kriterier"/>
    </sheetNames>
    <sheetDataSet>
      <sheetData sheetId="0" refreshError="1"/>
      <sheetData sheetId="1" refreshError="1"/>
    </sheetDataSet>
  </externalBook>
</externalLink>
</file>

<file path=xl/theme/theme1.xml><?xml version="1.0" encoding="utf-8"?>
<a:theme xmlns:a="http://schemas.openxmlformats.org/drawingml/2006/main" name="Kontort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9.xml.rels><?xml version="1.0" encoding="UTF-8" standalone="yes"?>
<Relationships xmlns="http://schemas.openxmlformats.org/package/2006/relationships"><Relationship Id="rId1" Type="http://schemas.openxmlformats.org/officeDocument/2006/relationships/hyperlink" Target="http://www.fordelingssekretariatet.dk/" TargetMode="Externa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1.vml"/><Relationship Id="rId2" Type="http://schemas.openxmlformats.org/officeDocument/2006/relationships/comments" Target="../comments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2"/>
  <sheetViews>
    <sheetView tabSelected="1" workbookViewId="0">
      <pane ySplit="36" topLeftCell="A37" activePane="bottomLeft" state="frozen"/>
      <selection pane="bottomLeft" activeCell="B28" sqref="B28"/>
    </sheetView>
  </sheetViews>
  <sheetFormatPr baseColWidth="10" defaultRowHeight="13" x14ac:dyDescent="0.15"/>
  <cols>
    <col min="1" max="1" width="98.5" customWidth="1"/>
  </cols>
  <sheetData>
    <row r="1" spans="1:1" ht="409" customHeight="1" x14ac:dyDescent="0.15">
      <c r="A1" s="564"/>
    </row>
    <row r="2" spans="1:1" x14ac:dyDescent="0.15">
      <c r="A2" s="564"/>
    </row>
    <row r="3" spans="1:1" x14ac:dyDescent="0.15">
      <c r="A3" s="564"/>
    </row>
    <row r="4" spans="1:1" x14ac:dyDescent="0.15">
      <c r="A4" s="564"/>
    </row>
    <row r="5" spans="1:1" x14ac:dyDescent="0.15">
      <c r="A5" s="564"/>
    </row>
    <row r="6" spans="1:1" x14ac:dyDescent="0.15">
      <c r="A6" s="564"/>
    </row>
    <row r="7" spans="1:1" x14ac:dyDescent="0.15">
      <c r="A7" s="564"/>
    </row>
    <row r="8" spans="1:1" x14ac:dyDescent="0.15">
      <c r="A8" s="564"/>
    </row>
    <row r="9" spans="1:1" x14ac:dyDescent="0.15">
      <c r="A9" s="564"/>
    </row>
    <row r="10" spans="1:1" x14ac:dyDescent="0.15">
      <c r="A10" s="564"/>
    </row>
    <row r="11" spans="1:1" x14ac:dyDescent="0.15">
      <c r="A11" s="564"/>
    </row>
    <row r="12" spans="1:1" x14ac:dyDescent="0.15">
      <c r="A12" s="564"/>
    </row>
    <row r="13" spans="1:1" x14ac:dyDescent="0.15">
      <c r="A13" s="564"/>
    </row>
    <row r="14" spans="1:1" x14ac:dyDescent="0.15">
      <c r="A14" s="564"/>
    </row>
    <row r="15" spans="1:1" x14ac:dyDescent="0.15">
      <c r="A15" s="564"/>
    </row>
    <row r="16" spans="1:1" x14ac:dyDescent="0.15">
      <c r="A16" s="564"/>
    </row>
    <row r="17" spans="1:1" x14ac:dyDescent="0.15">
      <c r="A17" s="564"/>
    </row>
    <row r="18" spans="1:1" x14ac:dyDescent="0.15">
      <c r="A18" s="564"/>
    </row>
    <row r="19" spans="1:1" x14ac:dyDescent="0.15">
      <c r="A19" s="564"/>
    </row>
    <row r="20" spans="1:1" x14ac:dyDescent="0.15">
      <c r="A20" s="564"/>
    </row>
    <row r="21" spans="1:1" x14ac:dyDescent="0.15">
      <c r="A21" s="564"/>
    </row>
    <row r="22" spans="1:1" x14ac:dyDescent="0.15">
      <c r="A22" s="564"/>
    </row>
    <row r="23" spans="1:1" x14ac:dyDescent="0.15">
      <c r="A23" s="564"/>
    </row>
    <row r="24" spans="1:1" x14ac:dyDescent="0.15">
      <c r="A24" s="564"/>
    </row>
    <row r="25" spans="1:1" x14ac:dyDescent="0.15">
      <c r="A25" s="564"/>
    </row>
    <row r="26" spans="1:1" x14ac:dyDescent="0.15">
      <c r="A26" s="564"/>
    </row>
    <row r="27" spans="1:1" x14ac:dyDescent="0.15">
      <c r="A27" s="564"/>
    </row>
    <row r="28" spans="1:1" x14ac:dyDescent="0.15">
      <c r="A28" s="564"/>
    </row>
    <row r="29" spans="1:1" x14ac:dyDescent="0.15">
      <c r="A29" s="564"/>
    </row>
    <row r="30" spans="1:1" x14ac:dyDescent="0.15">
      <c r="A30" s="564"/>
    </row>
    <row r="31" spans="1:1" x14ac:dyDescent="0.15">
      <c r="A31" s="564"/>
    </row>
    <row r="32" spans="1:1" x14ac:dyDescent="0.15">
      <c r="A32" s="564"/>
    </row>
  </sheetData>
  <mergeCells count="1">
    <mergeCell ref="A1:A32"/>
  </mergeCell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1"/>
  <sheetViews>
    <sheetView zoomScale="150" zoomScaleNormal="150" zoomScalePageLayoutView="150" workbookViewId="0">
      <selection activeCell="C5" sqref="C5:D13"/>
    </sheetView>
  </sheetViews>
  <sheetFormatPr baseColWidth="10" defaultColWidth="10.83203125" defaultRowHeight="13" x14ac:dyDescent="0.15"/>
  <cols>
    <col min="1" max="1" width="7.33203125" style="192" customWidth="1"/>
    <col min="2" max="2" width="39.6640625" style="192" customWidth="1"/>
    <col min="3" max="16384" width="10.83203125" style="192"/>
  </cols>
  <sheetData>
    <row r="1" spans="1:5" ht="14" thickBot="1" x14ac:dyDescent="0.2">
      <c r="A1" s="191" t="s">
        <v>250</v>
      </c>
      <c r="E1" s="544" t="s">
        <v>558</v>
      </c>
    </row>
    <row r="2" spans="1:5" ht="14" thickBot="1" x14ac:dyDescent="0.2">
      <c r="A2" s="193" t="s">
        <v>251</v>
      </c>
      <c r="B2" s="194" t="s">
        <v>252</v>
      </c>
      <c r="C2" s="195">
        <f>aarstal</f>
        <v>2018</v>
      </c>
      <c r="D2" s="196">
        <f>C2+1</f>
        <v>2019</v>
      </c>
    </row>
    <row r="3" spans="1:5" x14ac:dyDescent="0.15">
      <c r="A3" s="197">
        <v>1</v>
      </c>
      <c r="B3" s="198" t="s">
        <v>253</v>
      </c>
      <c r="C3" s="199"/>
      <c r="D3" s="200"/>
    </row>
    <row r="4" spans="1:5" x14ac:dyDescent="0.15">
      <c r="A4" s="197">
        <v>2</v>
      </c>
      <c r="B4" s="198" t="s">
        <v>254</v>
      </c>
      <c r="C4" s="201"/>
      <c r="D4" s="202"/>
    </row>
    <row r="5" spans="1:5" x14ac:dyDescent="0.15">
      <c r="A5" s="197">
        <v>3</v>
      </c>
      <c r="B5" s="198" t="s">
        <v>255</v>
      </c>
      <c r="C5" s="203"/>
      <c r="D5" s="202"/>
    </row>
    <row r="6" spans="1:5" x14ac:dyDescent="0.15">
      <c r="A6" s="197">
        <v>4</v>
      </c>
      <c r="B6" s="198" t="s">
        <v>256</v>
      </c>
      <c r="C6" s="203"/>
      <c r="D6" s="202"/>
    </row>
    <row r="7" spans="1:5" x14ac:dyDescent="0.15">
      <c r="A7" s="197">
        <v>5</v>
      </c>
      <c r="B7" s="198" t="s">
        <v>257</v>
      </c>
      <c r="C7" s="203"/>
      <c r="D7" s="202"/>
    </row>
    <row r="8" spans="1:5" x14ac:dyDescent="0.15">
      <c r="A8" s="197">
        <v>6</v>
      </c>
      <c r="B8" s="198" t="s">
        <v>258</v>
      </c>
      <c r="C8" s="203"/>
      <c r="D8" s="202"/>
    </row>
    <row r="9" spans="1:5" x14ac:dyDescent="0.15">
      <c r="A9" s="197">
        <v>7</v>
      </c>
      <c r="B9" s="198" t="s">
        <v>259</v>
      </c>
      <c r="C9" s="203"/>
      <c r="D9" s="202"/>
    </row>
    <row r="10" spans="1:5" x14ac:dyDescent="0.15">
      <c r="A10" s="197">
        <v>8</v>
      </c>
      <c r="B10" s="198" t="s">
        <v>260</v>
      </c>
      <c r="C10" s="203"/>
      <c r="D10" s="202"/>
    </row>
    <row r="11" spans="1:5" x14ac:dyDescent="0.15">
      <c r="A11" s="197">
        <v>9</v>
      </c>
      <c r="B11" s="204" t="s">
        <v>262</v>
      </c>
      <c r="C11" s="203"/>
      <c r="D11" s="202"/>
    </row>
    <row r="12" spans="1:5" x14ac:dyDescent="0.15">
      <c r="A12" s="197">
        <v>10</v>
      </c>
      <c r="B12" s="73" t="s">
        <v>29</v>
      </c>
      <c r="C12" s="203"/>
      <c r="D12" s="202"/>
    </row>
    <row r="13" spans="1:5" x14ac:dyDescent="0.15">
      <c r="A13" s="197">
        <v>11</v>
      </c>
      <c r="B13" s="74" t="s">
        <v>573</v>
      </c>
      <c r="C13" s="203"/>
      <c r="D13" s="202"/>
    </row>
    <row r="14" spans="1:5" x14ac:dyDescent="0.15">
      <c r="A14" s="197">
        <v>12</v>
      </c>
      <c r="B14" s="74"/>
      <c r="C14" s="203"/>
      <c r="D14" s="202"/>
      <c r="E14" s="192" t="s">
        <v>261</v>
      </c>
    </row>
    <row r="15" spans="1:5" x14ac:dyDescent="0.15">
      <c r="A15" s="197">
        <v>13</v>
      </c>
      <c r="B15" s="74"/>
      <c r="C15" s="203"/>
      <c r="D15" s="202"/>
    </row>
    <row r="16" spans="1:5" x14ac:dyDescent="0.15">
      <c r="A16" s="197">
        <v>14</v>
      </c>
      <c r="B16" s="74"/>
      <c r="C16" s="203"/>
      <c r="D16" s="202"/>
    </row>
    <row r="17" spans="1:4" ht="14" thickBot="1" x14ac:dyDescent="0.2">
      <c r="A17" s="197">
        <v>15</v>
      </c>
      <c r="B17" s="74"/>
      <c r="C17" s="203"/>
      <c r="D17" s="202"/>
    </row>
    <row r="18" spans="1:4" ht="14" thickBot="1" x14ac:dyDescent="0.2">
      <c r="A18" s="205" t="s">
        <v>239</v>
      </c>
      <c r="B18" s="206" t="s">
        <v>263</v>
      </c>
      <c r="C18" s="207">
        <f>SUM(C3:C17)</f>
        <v>0</v>
      </c>
      <c r="D18" s="208">
        <f>SUM(D3:D17)</f>
        <v>0</v>
      </c>
    </row>
    <row r="19" spans="1:4" x14ac:dyDescent="0.15">
      <c r="B19" s="192" t="str">
        <f>"Indtægterne i "&amp;D2&amp;" fordeles med 7/12 og 5/12"</f>
        <v>Indtægterne i 2019 fordeles med 7/12 og 5/12</v>
      </c>
    </row>
    <row r="21" spans="1:4" x14ac:dyDescent="0.15">
      <c r="A21" s="209" t="s">
        <v>325</v>
      </c>
      <c r="B21" s="209"/>
      <c r="C21" s="210" t="e">
        <f ca="1">Raabudget!D12</f>
        <v>#N/A</v>
      </c>
      <c r="D21" s="211" t="e">
        <f ca="1">Raabudget!F12+Raabudget!H12</f>
        <v>#N/A</v>
      </c>
    </row>
  </sheetData>
  <sheetProtection sheet="1" objects="1" scenarios="1" formatCells="0" formatColumns="0" formatRows="0"/>
  <hyperlinks>
    <hyperlink ref="E1" location="'5.Andre_Indt'!A1" display="til 'Budget'"/>
  </hyperlinks>
  <pageMargins left="0.75" right="0.75" top="1" bottom="1" header="0.5" footer="0.5"/>
  <pageSetup paperSize="9"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8"/>
  <sheetViews>
    <sheetView topLeftCell="A5" zoomScale="150" zoomScaleNormal="150" zoomScalePageLayoutView="150" workbookViewId="0">
      <selection activeCell="C9" sqref="C9"/>
    </sheetView>
  </sheetViews>
  <sheetFormatPr baseColWidth="10" defaultColWidth="10.83203125" defaultRowHeight="13" x14ac:dyDescent="0.15"/>
  <cols>
    <col min="1" max="1" width="9" style="132" customWidth="1"/>
    <col min="2" max="2" width="39.6640625" style="132" customWidth="1"/>
    <col min="3" max="6" width="10.83203125" style="132"/>
    <col min="7" max="7" width="12.5" style="132" customWidth="1"/>
    <col min="8" max="11" width="10.83203125" style="132"/>
    <col min="12" max="12" width="15.33203125" style="132" customWidth="1"/>
    <col min="13" max="16384" width="10.83203125" style="132"/>
  </cols>
  <sheetData>
    <row r="1" spans="1:16" x14ac:dyDescent="0.15">
      <c r="A1" s="131" t="s">
        <v>264</v>
      </c>
    </row>
    <row r="2" spans="1:16" x14ac:dyDescent="0.15">
      <c r="K2" s="229"/>
      <c r="L2" s="230">
        <v>1.0171619999999999</v>
      </c>
      <c r="M2" s="231" t="s">
        <v>270</v>
      </c>
      <c r="N2" s="231" t="s">
        <v>271</v>
      </c>
      <c r="O2" s="232"/>
      <c r="P2" s="233"/>
    </row>
    <row r="3" spans="1:16" x14ac:dyDescent="0.15">
      <c r="A3" s="132" t="s">
        <v>419</v>
      </c>
      <c r="K3" s="234">
        <v>1</v>
      </c>
      <c r="L3" s="235" t="s">
        <v>269</v>
      </c>
      <c r="M3" s="276">
        <f t="shared" ref="M3:N5" si="0">TRUNC(O3*$L$2)</f>
        <v>374615</v>
      </c>
      <c r="N3" s="276">
        <f t="shared" si="0"/>
        <v>445673</v>
      </c>
      <c r="O3" s="277">
        <v>368295</v>
      </c>
      <c r="P3" s="278">
        <v>438154</v>
      </c>
    </row>
    <row r="4" spans="1:16" x14ac:dyDescent="0.15">
      <c r="A4" s="132" t="str">
        <f>"Da I har angivet, at i pr. 5. sep. forventeligt har "&amp;elevtal&amp;" elever, vil I kunne regne med ca. "&amp;TEXT(elevtal/13.5,"#0,0")&amp;" årsværk."</f>
        <v>Da I har angivet, at i pr. 5. sep. forventeligt har  elever, vil I kunne regne med ca. 0,0 årsværk.</v>
      </c>
      <c r="K4" s="234">
        <v>100</v>
      </c>
      <c r="L4" s="235" t="s">
        <v>272</v>
      </c>
      <c r="M4" s="276">
        <f t="shared" si="0"/>
        <v>410611</v>
      </c>
      <c r="N4" s="276">
        <f t="shared" si="0"/>
        <v>492333</v>
      </c>
      <c r="O4" s="277">
        <v>403683</v>
      </c>
      <c r="P4" s="278">
        <v>484027</v>
      </c>
    </row>
    <row r="5" spans="1:16" x14ac:dyDescent="0.15">
      <c r="A5" s="132" t="str">
        <f>"Da skolelederen (som regel) udgør det ene årsværk, er der "&amp;TEXT(elevtal/13.5-1,"#0,0")&amp;" årsværk til lærere og bhkl.ledere."</f>
        <v>Da skolelederen (som regel) udgør det ene årsværk, er der -1,0 årsværk til lærere og bhkl.ledere.</v>
      </c>
      <c r="K5" s="236">
        <v>350</v>
      </c>
      <c r="L5" s="237" t="s">
        <v>273</v>
      </c>
      <c r="M5" s="279">
        <f t="shared" si="0"/>
        <v>446606</v>
      </c>
      <c r="N5" s="279">
        <f t="shared" si="0"/>
        <v>537660</v>
      </c>
      <c r="O5" s="280">
        <v>439071</v>
      </c>
      <c r="P5" s="281">
        <v>528589</v>
      </c>
    </row>
    <row r="7" spans="1:16" x14ac:dyDescent="0.15">
      <c r="A7" s="131" t="e">
        <f>"Lederlønnen skal aftales i et interval mellem "&amp;TEXT(VLOOKUP(elevtal,K3:N5,3,1),"#.000")&amp;" og "&amp;TEXT(VLOOKUP(elevtal,K3:N5,4,1),"#.000")&amp;" kr."</f>
        <v>#N/A</v>
      </c>
    </row>
    <row r="9" spans="1:16" x14ac:dyDescent="0.15">
      <c r="A9" s="132" t="s">
        <v>268</v>
      </c>
      <c r="C9" s="212">
        <v>420000</v>
      </c>
      <c r="D9" s="238" t="str">
        <f>"+ pension"</f>
        <v>+ pension</v>
      </c>
      <c r="E9" s="134">
        <f>C9*17.3%</f>
        <v>72660</v>
      </c>
      <c r="F9" s="132" t="s">
        <v>328</v>
      </c>
    </row>
    <row r="10" spans="1:16" x14ac:dyDescent="0.15">
      <c r="A10" s="132" t="s">
        <v>276</v>
      </c>
      <c r="C10" s="239"/>
      <c r="D10" s="238"/>
      <c r="E10" s="134"/>
    </row>
    <row r="12" spans="1:16" x14ac:dyDescent="0.15">
      <c r="A12" s="132" t="str">
        <f>"En gennemsnitlig mdl. udgift til en lærer i "&amp;aarstal&amp;" er ca.:"</f>
        <v>En gennemsnitlig mdl. udgift til en lærer i 2018 er ca.:</v>
      </c>
      <c r="C12" s="240">
        <v>34000</v>
      </c>
      <c r="D12" s="134" t="s">
        <v>275</v>
      </c>
      <c r="E12" s="134"/>
      <c r="F12" s="134"/>
      <c r="G12" s="134"/>
      <c r="H12" s="134"/>
    </row>
    <row r="13" spans="1:16" x14ac:dyDescent="0.15">
      <c r="C13" s="134"/>
      <c r="D13" s="134"/>
      <c r="E13" s="134"/>
      <c r="F13" s="134"/>
      <c r="G13" s="134"/>
      <c r="H13" s="134"/>
    </row>
    <row r="14" spans="1:16" ht="47" customHeight="1" x14ac:dyDescent="0.15">
      <c r="A14" s="241" t="s">
        <v>265</v>
      </c>
      <c r="C14" s="242" t="s">
        <v>266</v>
      </c>
      <c r="D14" s="242" t="s">
        <v>267</v>
      </c>
      <c r="E14" s="242" t="str">
        <f>"+ Leder"</f>
        <v>+ Leder</v>
      </c>
      <c r="F14" s="242" t="s">
        <v>327</v>
      </c>
      <c r="G14" s="282" t="str">
        <f>"+/- feriefradrag og feriepenge-forpligtelse"</f>
        <v>+/- feriefradrag og feriepenge-forpligtelse</v>
      </c>
      <c r="H14" s="283" t="s">
        <v>391</v>
      </c>
      <c r="J14" s="243" t="s">
        <v>326</v>
      </c>
      <c r="K14" s="286" t="s">
        <v>388</v>
      </c>
      <c r="L14" s="286" t="s">
        <v>389</v>
      </c>
      <c r="M14" s="287" t="s">
        <v>397</v>
      </c>
    </row>
    <row r="15" spans="1:16" x14ac:dyDescent="0.15">
      <c r="A15" s="16" t="str">
        <f>TEXT(elevtal/13.5-1,"#0,0")</f>
        <v>-1,0</v>
      </c>
      <c r="B15" s="132" t="str">
        <f>"aug - dec "&amp;aarstal</f>
        <v>aug - dec 2018</v>
      </c>
      <c r="C15" s="242">
        <v>5</v>
      </c>
      <c r="D15" s="244">
        <f>A15*C15*$C$12</f>
        <v>-170000</v>
      </c>
      <c r="E15" s="240">
        <f>(C9+E9)*5/12</f>
        <v>205275</v>
      </c>
      <c r="F15" s="245">
        <f>SUM(D15:E15)</f>
        <v>35275</v>
      </c>
      <c r="G15" s="284">
        <v>9.7000000000000003E-2</v>
      </c>
      <c r="H15" s="245">
        <f>F15*(1+G15)</f>
        <v>38696.674999999996</v>
      </c>
      <c r="I15" s="134" t="s">
        <v>213</v>
      </c>
      <c r="J15" s="246" t="e">
        <f ca="1">Raabudget!D14</f>
        <v>#N/A</v>
      </c>
      <c r="K15" s="285">
        <f>F15/5*5*4.62%</f>
        <v>1629.7049999999999</v>
      </c>
      <c r="L15" s="285">
        <f>(F15-K15)*15%</f>
        <v>5046.7942499999999</v>
      </c>
      <c r="M15" s="285">
        <f>F15-K15+L15</f>
        <v>38692.089249999997</v>
      </c>
      <c r="N15" s="275"/>
      <c r="O15" s="247"/>
    </row>
    <row r="16" spans="1:16" x14ac:dyDescent="0.15">
      <c r="A16" s="16" t="str">
        <f>A15</f>
        <v>-1,0</v>
      </c>
      <c r="B16" s="132" t="str">
        <f>"jan - jul "&amp;aarstal+1</f>
        <v>jan - jul 2019</v>
      </c>
      <c r="C16" s="242">
        <v>7</v>
      </c>
      <c r="D16" s="244">
        <f>A16*C16*$C$12</f>
        <v>-238000</v>
      </c>
      <c r="E16" s="240">
        <f>(C9+E9)*7/12</f>
        <v>287385</v>
      </c>
      <c r="F16" s="245">
        <f>SUM(D16:E16)</f>
        <v>49385</v>
      </c>
      <c r="G16" s="284">
        <v>-0.03</v>
      </c>
      <c r="H16" s="245">
        <f>F16*(1+G16)</f>
        <v>47903.45</v>
      </c>
      <c r="I16" s="134" t="s">
        <v>213</v>
      </c>
      <c r="J16" s="246" t="e">
        <f ca="1">Raabudget!F14</f>
        <v>#N/A</v>
      </c>
      <c r="K16" s="285">
        <f>F16/7*4.6*4.62%</f>
        <v>1499.3285999999998</v>
      </c>
      <c r="L16" s="285"/>
      <c r="M16" s="285">
        <f>F16-K16+L16</f>
        <v>47885.671399999999</v>
      </c>
      <c r="N16" s="275"/>
      <c r="O16" s="247"/>
    </row>
    <row r="17" spans="1:15" x14ac:dyDescent="0.15">
      <c r="A17" s="16" t="str">
        <f>TEXT('1.Driftstilskud'!B35/13.5-1,"#0,0")</f>
        <v>-1,0</v>
      </c>
      <c r="B17" s="132" t="str">
        <f>"aug - dec "&amp;aarstal+1</f>
        <v>aug - dec 2019</v>
      </c>
      <c r="C17" s="242">
        <v>5</v>
      </c>
      <c r="D17" s="244">
        <f>A17*C17*$C$12</f>
        <v>-170000</v>
      </c>
      <c r="E17" s="240">
        <f>(C9+E9)*5/12</f>
        <v>205275</v>
      </c>
      <c r="F17" s="245">
        <f>SUM(D17:E17)</f>
        <v>35275</v>
      </c>
      <c r="G17" s="284">
        <v>0.15</v>
      </c>
      <c r="H17" s="245">
        <f>F17*(1+G17)</f>
        <v>40566.25</v>
      </c>
      <c r="I17" s="134" t="s">
        <v>213</v>
      </c>
      <c r="J17" s="246" t="e">
        <f ca="1">Raabudget!H14</f>
        <v>#N/A</v>
      </c>
      <c r="K17" s="285">
        <f>F17/5*5*4.62%</f>
        <v>1629.7049999999999</v>
      </c>
      <c r="L17" s="285">
        <f>(F16+F17-K16-K17)*15%-L15</f>
        <v>7182.8507099999997</v>
      </c>
      <c r="M17" s="285">
        <f>F17-K17+L17</f>
        <v>40828.145709999997</v>
      </c>
      <c r="N17" s="275"/>
      <c r="O17" s="247"/>
    </row>
    <row r="18" spans="1:15" x14ac:dyDescent="0.15">
      <c r="A18" s="241"/>
      <c r="C18" s="242"/>
      <c r="D18" s="134"/>
      <c r="E18" s="134"/>
      <c r="F18" s="134"/>
      <c r="G18" s="134"/>
      <c r="H18" s="134"/>
    </row>
    <row r="19" spans="1:15" x14ac:dyDescent="0.15">
      <c r="A19" s="248" t="s">
        <v>274</v>
      </c>
      <c r="C19" s="134"/>
      <c r="D19" s="134"/>
      <c r="E19" s="134"/>
      <c r="F19" s="134"/>
      <c r="G19" s="544" t="s">
        <v>558</v>
      </c>
      <c r="H19" s="134"/>
    </row>
    <row r="20" spans="1:15" x14ac:dyDescent="0.15">
      <c r="C20" s="134"/>
      <c r="D20" s="134"/>
      <c r="E20" s="134"/>
      <c r="F20" s="134"/>
      <c r="G20" s="134"/>
      <c r="H20" s="134"/>
    </row>
    <row r="21" spans="1:15" x14ac:dyDescent="0.15">
      <c r="A21" s="132" t="s">
        <v>381</v>
      </c>
      <c r="C21" s="134"/>
      <c r="D21" s="134"/>
      <c r="E21" s="134"/>
      <c r="F21" s="134"/>
      <c r="G21" s="134"/>
      <c r="H21" s="134"/>
    </row>
    <row r="22" spans="1:15" x14ac:dyDescent="0.15">
      <c r="A22" s="132" t="s">
        <v>382</v>
      </c>
      <c r="C22" s="134"/>
      <c r="D22" s="134"/>
      <c r="E22" s="134"/>
      <c r="F22" s="134"/>
      <c r="G22" s="134"/>
      <c r="H22" s="134"/>
    </row>
    <row r="23" spans="1:15" ht="23" customHeight="1" x14ac:dyDescent="0.15">
      <c r="A23" s="570" t="s">
        <v>390</v>
      </c>
      <c r="B23" s="570"/>
      <c r="C23" s="570"/>
      <c r="D23" s="570"/>
      <c r="E23" s="570"/>
      <c r="F23" s="134"/>
      <c r="G23" s="134"/>
      <c r="H23" s="134"/>
    </row>
    <row r="24" spans="1:15" x14ac:dyDescent="0.15">
      <c r="C24" s="134"/>
      <c r="D24" s="134"/>
      <c r="E24" s="134"/>
      <c r="F24" s="134"/>
      <c r="G24" s="134"/>
      <c r="H24" s="134"/>
    </row>
    <row r="25" spans="1:15" x14ac:dyDescent="0.15">
      <c r="A25" s="274" t="str">
        <f>"I kolonne G er det forudsat at alle er ansat den 1. august, og at alle holder ferie i.h.t. overenskomsten, og at alle er ansat frem til 31. dec "&amp;aarstal+1&amp;"."</f>
        <v>I kolonne G er det forudsat at alle er ansat den 1. august, og at alle holder ferie i.h.t. overenskomsten, og at alle er ansat frem til 31. dec 2019.</v>
      </c>
      <c r="C25" s="134"/>
      <c r="D25" s="134"/>
      <c r="E25" s="134"/>
      <c r="F25" s="134"/>
      <c r="G25" s="134"/>
      <c r="H25" s="134"/>
    </row>
    <row r="26" spans="1:15" x14ac:dyDescent="0.15">
      <c r="C26" s="134"/>
      <c r="D26" s="134"/>
      <c r="E26" s="134"/>
      <c r="F26" s="134"/>
      <c r="G26" s="134"/>
      <c r="H26" s="134"/>
    </row>
    <row r="27" spans="1:15" x14ac:dyDescent="0.15">
      <c r="C27" s="134"/>
      <c r="D27" s="134"/>
      <c r="E27" s="134"/>
      <c r="F27" s="134"/>
      <c r="G27" s="134"/>
      <c r="H27" s="134"/>
    </row>
    <row r="28" spans="1:15" x14ac:dyDescent="0.15">
      <c r="C28" s="134"/>
      <c r="D28" s="134"/>
      <c r="E28" s="134"/>
      <c r="F28" s="134"/>
      <c r="G28" s="134"/>
      <c r="H28" s="134"/>
    </row>
    <row r="29" spans="1:15" x14ac:dyDescent="0.15">
      <c r="C29" s="134"/>
      <c r="D29" s="134"/>
      <c r="E29" s="134"/>
      <c r="F29" s="134"/>
      <c r="G29" s="134"/>
      <c r="H29" s="134"/>
    </row>
    <row r="30" spans="1:15" x14ac:dyDescent="0.15">
      <c r="C30" s="134"/>
      <c r="D30" s="134"/>
      <c r="E30" s="134"/>
      <c r="F30" s="134"/>
      <c r="G30" s="134"/>
      <c r="H30" s="134"/>
    </row>
    <row r="31" spans="1:15" x14ac:dyDescent="0.15">
      <c r="C31" s="134"/>
      <c r="D31" s="134"/>
      <c r="E31" s="134"/>
      <c r="F31" s="134"/>
      <c r="G31" s="134"/>
      <c r="H31" s="134"/>
    </row>
    <row r="32" spans="1:15" x14ac:dyDescent="0.15">
      <c r="C32" s="134"/>
      <c r="D32" s="134"/>
      <c r="E32" s="134"/>
      <c r="F32" s="134"/>
      <c r="G32" s="134"/>
      <c r="H32" s="134"/>
    </row>
    <row r="33" spans="3:8" x14ac:dyDescent="0.15">
      <c r="C33" s="134"/>
      <c r="D33" s="134"/>
      <c r="E33" s="134"/>
      <c r="F33" s="134"/>
      <c r="G33" s="134"/>
      <c r="H33" s="134"/>
    </row>
    <row r="34" spans="3:8" x14ac:dyDescent="0.15">
      <c r="C34" s="134"/>
      <c r="D34" s="134"/>
      <c r="E34" s="134"/>
      <c r="F34" s="134"/>
      <c r="G34" s="134"/>
      <c r="H34" s="134"/>
    </row>
    <row r="35" spans="3:8" x14ac:dyDescent="0.15">
      <c r="C35" s="134"/>
      <c r="D35" s="134"/>
      <c r="E35" s="134"/>
      <c r="F35" s="134"/>
      <c r="G35" s="134"/>
      <c r="H35" s="134"/>
    </row>
    <row r="36" spans="3:8" x14ac:dyDescent="0.15">
      <c r="C36" s="134"/>
      <c r="D36" s="134"/>
      <c r="E36" s="134"/>
      <c r="F36" s="134"/>
      <c r="G36" s="134"/>
      <c r="H36" s="134"/>
    </row>
    <row r="37" spans="3:8" x14ac:dyDescent="0.15">
      <c r="C37" s="134"/>
      <c r="D37" s="134"/>
      <c r="E37" s="134"/>
      <c r="F37" s="134"/>
      <c r="G37" s="134"/>
      <c r="H37" s="134"/>
    </row>
    <row r="38" spans="3:8" x14ac:dyDescent="0.15">
      <c r="C38" s="134"/>
      <c r="D38" s="134"/>
      <c r="E38" s="134"/>
      <c r="F38" s="134"/>
      <c r="G38" s="134"/>
      <c r="H38" s="134"/>
    </row>
  </sheetData>
  <sheetProtection sheet="1" objects="1" scenarios="1" formatCells="0" formatColumns="0" formatRows="0"/>
  <mergeCells count="1">
    <mergeCell ref="A23:E23"/>
  </mergeCells>
  <hyperlinks>
    <hyperlink ref="G19" location="'7.Loen,Uv'!A1" display="til 'Budget'"/>
  </hyperlinks>
  <pageMargins left="0.75" right="0.75" top="1" bottom="1" header="0.5" footer="0.5"/>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9"/>
  <sheetViews>
    <sheetView topLeftCell="A5" zoomScale="150" zoomScaleNormal="150" zoomScalePageLayoutView="150" workbookViewId="0">
      <selection activeCell="D16" sqref="D16"/>
    </sheetView>
  </sheetViews>
  <sheetFormatPr baseColWidth="10" defaultColWidth="10.83203125" defaultRowHeight="13" x14ac:dyDescent="0.15"/>
  <cols>
    <col min="1" max="1" width="19.33203125" style="1" customWidth="1"/>
    <col min="2" max="2" width="13.6640625" style="1" customWidth="1"/>
    <col min="3" max="3" width="10.83203125" style="1"/>
    <col min="4" max="4" width="14.1640625" style="1" customWidth="1"/>
    <col min="5" max="5" width="10.83203125" style="1"/>
    <col min="6" max="6" width="11.6640625" style="1" customWidth="1"/>
    <col min="7" max="16384" width="10.83203125" style="1"/>
  </cols>
  <sheetData>
    <row r="1" spans="1:5" x14ac:dyDescent="0.15">
      <c r="A1" s="1" t="s">
        <v>279</v>
      </c>
    </row>
    <row r="2" spans="1:5" x14ac:dyDescent="0.15">
      <c r="A2" s="1" t="s">
        <v>277</v>
      </c>
    </row>
    <row r="4" spans="1:5" x14ac:dyDescent="0.15">
      <c r="A4" s="1" t="s">
        <v>278</v>
      </c>
    </row>
    <row r="5" spans="1:5" x14ac:dyDescent="0.15">
      <c r="A5" s="1" t="s">
        <v>392</v>
      </c>
    </row>
    <row r="7" spans="1:5" x14ac:dyDescent="0.15">
      <c r="A7" s="1" t="str">
        <f>"Skoleåret "&amp;aarstal&amp;"/"&amp;aarstal+1</f>
        <v>Skoleåret 2018/2019</v>
      </c>
      <c r="D7" s="10" t="s">
        <v>287</v>
      </c>
      <c r="E7" s="10" t="s">
        <v>284</v>
      </c>
    </row>
    <row r="8" spans="1:5" x14ac:dyDescent="0.15">
      <c r="A8" s="222" t="s">
        <v>282</v>
      </c>
      <c r="B8" s="81"/>
      <c r="C8" s="81"/>
      <c r="D8" s="16"/>
      <c r="E8" s="16"/>
    </row>
    <row r="9" spans="1:5" x14ac:dyDescent="0.15">
      <c r="A9" s="222" t="s">
        <v>283</v>
      </c>
      <c r="B9" s="81"/>
      <c r="C9" s="81"/>
      <c r="D9" s="16"/>
      <c r="E9" s="16"/>
    </row>
    <row r="10" spans="1:5" x14ac:dyDescent="0.15">
      <c r="A10" s="222" t="s">
        <v>380</v>
      </c>
      <c r="B10" s="81"/>
      <c r="C10" s="81"/>
      <c r="D10" s="16"/>
    </row>
    <row r="12" spans="1:5" x14ac:dyDescent="0.15">
      <c r="A12" s="1" t="str">
        <f>"Skoleåret "&amp;aarstal+1&amp;"/"&amp;aarstal+2</f>
        <v>Skoleåret 2019/2020</v>
      </c>
    </row>
    <row r="14" spans="1:5" x14ac:dyDescent="0.15">
      <c r="A14" s="222" t="s">
        <v>282</v>
      </c>
      <c r="B14" s="81"/>
      <c r="C14" s="81"/>
      <c r="D14" s="16"/>
      <c r="E14" s="16"/>
    </row>
    <row r="15" spans="1:5" x14ac:dyDescent="0.15">
      <c r="A15" s="222" t="s">
        <v>283</v>
      </c>
      <c r="B15" s="81"/>
      <c r="C15" s="81"/>
      <c r="D15" s="16"/>
      <c r="E15" s="16"/>
    </row>
    <row r="16" spans="1:5" x14ac:dyDescent="0.15">
      <c r="A16" s="222" t="s">
        <v>285</v>
      </c>
      <c r="B16" s="81"/>
      <c r="C16" s="81"/>
      <c r="D16" s="16"/>
    </row>
    <row r="18" spans="1:13" x14ac:dyDescent="0.15">
      <c r="A18" s="1" t="s">
        <v>288</v>
      </c>
    </row>
    <row r="19" spans="1:13" x14ac:dyDescent="0.15">
      <c r="A19" s="1" t="s">
        <v>393</v>
      </c>
    </row>
    <row r="21" spans="1:13" x14ac:dyDescent="0.15">
      <c r="B21" s="10" t="s">
        <v>281</v>
      </c>
      <c r="C21" s="10" t="s">
        <v>286</v>
      </c>
    </row>
    <row r="22" spans="1:13" x14ac:dyDescent="0.15">
      <c r="A22" s="222" t="str">
        <f>"aug. "&amp;aarstal&amp;" - jan. "&amp;aarstal+1</f>
        <v>aug. 2018 - jan. 2019</v>
      </c>
      <c r="B22" s="223">
        <f>('4.Foraeldrebetaling,SFO'!E8+'4.Foraeldrebetaling,SFO'!E15)/2</f>
        <v>0</v>
      </c>
      <c r="C22" s="224" t="e">
        <f>ROUND(MAX(D8/1449*E8+D9/1449*E9,B22/$D$10),4)</f>
        <v>#DIV/0!</v>
      </c>
      <c r="D22" s="81" t="s">
        <v>297</v>
      </c>
    </row>
    <row r="23" spans="1:13" x14ac:dyDescent="0.15">
      <c r="A23" s="222" t="str">
        <f>"aug. - dec. "&amp;aarstal+1</f>
        <v>aug. - dec. 2019</v>
      </c>
      <c r="B23" s="223">
        <f>'4.Foraeldrebetaling,SFO'!E22</f>
        <v>0</v>
      </c>
      <c r="C23" s="224" t="e">
        <f>ROUND(MAX(D14/1449*E14+D15/1449*E15,B23/$D$16),4)</f>
        <v>#DIV/0!</v>
      </c>
      <c r="D23" s="81" t="s">
        <v>297</v>
      </c>
    </row>
    <row r="24" spans="1:13" x14ac:dyDescent="0.15">
      <c r="A24" s="137" t="s">
        <v>280</v>
      </c>
    </row>
    <row r="26" spans="1:13" x14ac:dyDescent="0.15">
      <c r="A26" s="37" t="s">
        <v>296</v>
      </c>
      <c r="C26" s="10" t="s">
        <v>297</v>
      </c>
      <c r="D26" s="10" t="s">
        <v>289</v>
      </c>
      <c r="E26" s="10" t="s">
        <v>290</v>
      </c>
      <c r="F26" s="10" t="s">
        <v>298</v>
      </c>
    </row>
    <row r="27" spans="1:13" x14ac:dyDescent="0.15">
      <c r="A27" s="222" t="s">
        <v>291</v>
      </c>
      <c r="B27" s="81"/>
      <c r="C27" s="249" t="e">
        <f>ROUND(C22,2)</f>
        <v>#DIV/0!</v>
      </c>
      <c r="D27" s="225">
        <f t="shared" ref="D27:E31" si="0">ROUND(L27,-2)</f>
        <v>29100</v>
      </c>
      <c r="E27" s="223">
        <f t="shared" si="0"/>
        <v>33600</v>
      </c>
      <c r="F27" s="223" t="e">
        <f>C27*(D27+E27)/2</f>
        <v>#DIV/0!</v>
      </c>
      <c r="J27" s="330">
        <v>29</v>
      </c>
      <c r="K27" s="330">
        <v>38</v>
      </c>
      <c r="L27" s="541">
        <f>25180+24006*14.7%+172*2</f>
        <v>29052.881999999998</v>
      </c>
      <c r="M27" s="541">
        <f>29055+28590*14.7%+172*2</f>
        <v>33601.729999999996</v>
      </c>
    </row>
    <row r="28" spans="1:13" x14ac:dyDescent="0.15">
      <c r="A28" s="222" t="s">
        <v>292</v>
      </c>
      <c r="B28" s="81"/>
      <c r="C28" s="250"/>
      <c r="D28" s="225">
        <f t="shared" si="0"/>
        <v>27000</v>
      </c>
      <c r="E28" s="223">
        <f t="shared" si="0"/>
        <v>27300</v>
      </c>
      <c r="F28" s="223">
        <f>C28*(D28+E28)/2</f>
        <v>0</v>
      </c>
      <c r="J28" s="330">
        <v>20</v>
      </c>
      <c r="K28" s="330">
        <v>25</v>
      </c>
      <c r="L28" s="541">
        <f>23676+20351*14.7%+172*2</f>
        <v>27011.597000000002</v>
      </c>
      <c r="M28" s="541">
        <f>23676+22290*14.7%+172*2</f>
        <v>27296.63</v>
      </c>
    </row>
    <row r="29" spans="1:13" x14ac:dyDescent="0.15">
      <c r="A29" s="222" t="s">
        <v>293</v>
      </c>
      <c r="B29" s="81"/>
      <c r="C29" s="250"/>
      <c r="D29" s="225">
        <f t="shared" si="0"/>
        <v>28200</v>
      </c>
      <c r="E29" s="223">
        <f t="shared" si="0"/>
        <v>32500</v>
      </c>
      <c r="F29" s="223">
        <f>C29*(D29+E29)/2</f>
        <v>0</v>
      </c>
      <c r="J29" s="330">
        <v>27</v>
      </c>
      <c r="K29" s="330">
        <v>36</v>
      </c>
      <c r="L29" s="541">
        <f>24413+23126*14.7%+172*2</f>
        <v>28156.522000000001</v>
      </c>
      <c r="M29" s="541">
        <f>28119+27470*14.7%+172*2</f>
        <v>32501.09</v>
      </c>
    </row>
    <row r="30" spans="1:13" x14ac:dyDescent="0.15">
      <c r="A30" s="222" t="s">
        <v>294</v>
      </c>
      <c r="B30" s="81"/>
      <c r="C30" s="250"/>
      <c r="D30" s="225">
        <f t="shared" si="0"/>
        <v>23000</v>
      </c>
      <c r="E30" s="223">
        <f t="shared" si="0"/>
        <v>24900</v>
      </c>
      <c r="F30" s="223">
        <f>C30*(D30+E30)/2</f>
        <v>0</v>
      </c>
      <c r="J30" s="330">
        <v>14</v>
      </c>
      <c r="K30" s="330">
        <v>19</v>
      </c>
      <c r="L30" s="541">
        <f>19941+18264*14.7%+172*2</f>
        <v>22969.808000000001</v>
      </c>
      <c r="M30" s="541">
        <f>21630+19979*14.7%+172*2</f>
        <v>24910.913</v>
      </c>
    </row>
    <row r="31" spans="1:13" x14ac:dyDescent="0.15">
      <c r="A31" s="222" t="s">
        <v>295</v>
      </c>
      <c r="B31" s="81"/>
      <c r="C31" s="250"/>
      <c r="D31" s="225">
        <f t="shared" si="0"/>
        <v>34900</v>
      </c>
      <c r="E31" s="223">
        <f t="shared" si="0"/>
        <v>44000</v>
      </c>
      <c r="F31" s="223">
        <f>C31*(D31+E31)/2</f>
        <v>0</v>
      </c>
      <c r="J31" s="330">
        <v>40</v>
      </c>
      <c r="K31" s="330">
        <v>48</v>
      </c>
      <c r="L31" s="541">
        <f>30028+16.2%*29783</f>
        <v>34852.845999999998</v>
      </c>
      <c r="M31" s="541">
        <f>37850+16.2%*37850</f>
        <v>43981.7</v>
      </c>
    </row>
    <row r="32" spans="1:13" x14ac:dyDescent="0.15">
      <c r="A32" s="226" t="s">
        <v>299</v>
      </c>
      <c r="F32" s="227" t="e">
        <f>SUM(F27:F31)</f>
        <v>#DIV/0!</v>
      </c>
    </row>
    <row r="33" spans="2:8" x14ac:dyDescent="0.15">
      <c r="F33" s="214"/>
    </row>
    <row r="34" spans="2:8" ht="65" x14ac:dyDescent="0.15">
      <c r="C34" s="214" t="s">
        <v>266</v>
      </c>
      <c r="D34" s="214" t="s">
        <v>394</v>
      </c>
      <c r="E34" s="282" t="str">
        <f>"+/- feriefradrag og feriepenge-forpligtelse"</f>
        <v>+/- feriefradrag og feriepenge-forpligtelse</v>
      </c>
      <c r="F34" s="283" t="s">
        <v>391</v>
      </c>
      <c r="G34" s="49"/>
      <c r="H34" s="215" t="s">
        <v>326</v>
      </c>
    </row>
    <row r="35" spans="2:8" x14ac:dyDescent="0.15">
      <c r="B35" s="81" t="str">
        <f>"aug - dec "&amp;aarstal</f>
        <v>aug - dec 2018</v>
      </c>
      <c r="C35" s="228">
        <v>5</v>
      </c>
      <c r="D35" s="213" t="e">
        <f>C35*$F$32</f>
        <v>#DIV/0!</v>
      </c>
      <c r="E35" s="284">
        <v>9.7000000000000003E-2</v>
      </c>
      <c r="F35" s="245" t="e">
        <f>D35*(1+E35)</f>
        <v>#DIV/0!</v>
      </c>
      <c r="G35" s="49" t="s">
        <v>213</v>
      </c>
      <c r="H35" s="216" t="e">
        <f ca="1">Raabudget!D15</f>
        <v>#N/A</v>
      </c>
    </row>
    <row r="36" spans="2:8" x14ac:dyDescent="0.15">
      <c r="B36" s="81" t="str">
        <f>"jan - jul "&amp;aarstal+1</f>
        <v>jan - jul 2019</v>
      </c>
      <c r="C36" s="228">
        <v>7</v>
      </c>
      <c r="D36" s="213" t="e">
        <f>C36*$F$32</f>
        <v>#DIV/0!</v>
      </c>
      <c r="E36" s="284">
        <v>-0.03</v>
      </c>
      <c r="F36" s="245" t="e">
        <f>D36*(1+E36)</f>
        <v>#DIV/0!</v>
      </c>
      <c r="G36" s="49" t="s">
        <v>213</v>
      </c>
      <c r="H36" s="216" t="e">
        <f ca="1">Raabudget!F15</f>
        <v>#N/A</v>
      </c>
    </row>
    <row r="37" spans="2:8" x14ac:dyDescent="0.15">
      <c r="B37" s="81" t="str">
        <f>"aug - dec "&amp;aarstal+1</f>
        <v>aug - dec 2019</v>
      </c>
      <c r="C37" s="228">
        <v>5</v>
      </c>
      <c r="D37" s="213" t="e">
        <f>C37*$F$32/C22*C23</f>
        <v>#DIV/0!</v>
      </c>
      <c r="E37" s="284">
        <v>0.15</v>
      </c>
      <c r="F37" s="245" t="e">
        <f>D37*(1+E37)</f>
        <v>#DIV/0!</v>
      </c>
      <c r="G37" s="49" t="s">
        <v>213</v>
      </c>
      <c r="H37" s="216" t="e">
        <f ca="1">+Raabudget!H15</f>
        <v>#N/A</v>
      </c>
    </row>
    <row r="39" spans="2:8" x14ac:dyDescent="0.15">
      <c r="B39" s="544" t="s">
        <v>558</v>
      </c>
    </row>
  </sheetData>
  <sheetProtection sheet="1" objects="1" scenarios="1" formatCells="0" formatColumns="0" formatRows="0"/>
  <hyperlinks>
    <hyperlink ref="B39" location="'8.Loen,SFO'!A1" display="til 'Budget'"/>
  </hyperlinks>
  <pageMargins left="0.75" right="0.75" top="1" bottom="1" header="0.5" footer="0.5"/>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2"/>
  <sheetViews>
    <sheetView zoomScale="150" zoomScaleNormal="150" zoomScalePageLayoutView="150" workbookViewId="0">
      <selection activeCell="D18" sqref="D18"/>
    </sheetView>
  </sheetViews>
  <sheetFormatPr baseColWidth="10" defaultColWidth="10.83203125" defaultRowHeight="13" x14ac:dyDescent="0.15"/>
  <cols>
    <col min="1" max="1" width="6.83203125" style="132" customWidth="1"/>
    <col min="2" max="2" width="28.33203125" style="132" customWidth="1"/>
    <col min="3" max="16384" width="10.83203125" style="132"/>
  </cols>
  <sheetData>
    <row r="1" spans="1:5" x14ac:dyDescent="0.15">
      <c r="A1" s="132" t="s">
        <v>300</v>
      </c>
      <c r="E1" s="544" t="s">
        <v>558</v>
      </c>
    </row>
    <row r="2" spans="1:5" ht="14" thickBot="1" x14ac:dyDescent="0.2">
      <c r="A2" s="132" t="s">
        <v>301</v>
      </c>
    </row>
    <row r="3" spans="1:5" ht="14" thickBot="1" x14ac:dyDescent="0.2">
      <c r="A3" s="251" t="s">
        <v>251</v>
      </c>
      <c r="B3" s="252" t="s">
        <v>252</v>
      </c>
      <c r="C3" s="253">
        <f>aarstal</f>
        <v>2018</v>
      </c>
      <c r="D3" s="254">
        <f>C3+1</f>
        <v>2019</v>
      </c>
    </row>
    <row r="4" spans="1:5" x14ac:dyDescent="0.15">
      <c r="A4" s="255">
        <v>1</v>
      </c>
      <c r="B4" s="198" t="s">
        <v>304</v>
      </c>
      <c r="C4" s="199"/>
      <c r="D4" s="200"/>
      <c r="E4" s="248"/>
    </row>
    <row r="5" spans="1:5" x14ac:dyDescent="0.15">
      <c r="A5" s="255">
        <v>2</v>
      </c>
      <c r="B5" s="198" t="s">
        <v>305</v>
      </c>
      <c r="C5" s="201"/>
      <c r="D5" s="202"/>
      <c r="E5" s="248"/>
    </row>
    <row r="6" spans="1:5" x14ac:dyDescent="0.15">
      <c r="A6" s="255">
        <v>3</v>
      </c>
      <c r="B6" s="198" t="s">
        <v>302</v>
      </c>
      <c r="C6" s="203"/>
      <c r="D6" s="202"/>
      <c r="E6" s="248" t="str">
        <f>"Copydan-afgift er i "&amp;aarstal&amp;" ca. 216 kr. pr. elev. Der betales dog først i "&amp;aarstal+1</f>
        <v>Copydan-afgift er i 2018 ca. 216 kr. pr. elev. Der betales dog først i 2019</v>
      </c>
    </row>
    <row r="7" spans="1:5" x14ac:dyDescent="0.15">
      <c r="A7" s="255">
        <v>4</v>
      </c>
      <c r="B7" s="198" t="s">
        <v>303</v>
      </c>
      <c r="C7" s="203"/>
      <c r="D7" s="202"/>
      <c r="E7" s="248"/>
    </row>
    <row r="8" spans="1:5" x14ac:dyDescent="0.15">
      <c r="A8" s="255">
        <v>5</v>
      </c>
      <c r="B8" s="198" t="s">
        <v>306</v>
      </c>
      <c r="C8" s="203"/>
      <c r="D8" s="202"/>
      <c r="E8" s="248"/>
    </row>
    <row r="9" spans="1:5" x14ac:dyDescent="0.15">
      <c r="A9" s="255">
        <v>6</v>
      </c>
      <c r="B9" s="198" t="s">
        <v>307</v>
      </c>
      <c r="C9" s="203"/>
      <c r="D9" s="202"/>
      <c r="E9" s="248"/>
    </row>
    <row r="10" spans="1:5" x14ac:dyDescent="0.15">
      <c r="A10" s="255">
        <v>7</v>
      </c>
      <c r="B10" s="198" t="s">
        <v>308</v>
      </c>
      <c r="C10" s="203"/>
      <c r="D10" s="202"/>
      <c r="E10" s="248"/>
    </row>
    <row r="11" spans="1:5" x14ac:dyDescent="0.15">
      <c r="A11" s="255">
        <v>8</v>
      </c>
      <c r="B11" s="198" t="s">
        <v>309</v>
      </c>
      <c r="C11" s="203"/>
      <c r="D11" s="202"/>
      <c r="E11" s="248"/>
    </row>
    <row r="12" spans="1:5" x14ac:dyDescent="0.15">
      <c r="A12" s="255">
        <v>9</v>
      </c>
      <c r="B12" s="204" t="s">
        <v>314</v>
      </c>
      <c r="C12" s="203"/>
      <c r="D12" s="202"/>
      <c r="E12" s="248"/>
    </row>
    <row r="13" spans="1:5" x14ac:dyDescent="0.15">
      <c r="A13" s="255">
        <v>10</v>
      </c>
      <c r="B13" s="73" t="s">
        <v>310</v>
      </c>
      <c r="C13" s="203"/>
      <c r="D13" s="202"/>
      <c r="E13" s="248" t="s">
        <v>315</v>
      </c>
    </row>
    <row r="14" spans="1:5" x14ac:dyDescent="0.15">
      <c r="A14" s="255">
        <v>11</v>
      </c>
      <c r="B14" s="73" t="s">
        <v>311</v>
      </c>
      <c r="C14" s="203"/>
      <c r="D14" s="202"/>
      <c r="E14" s="248"/>
    </row>
    <row r="15" spans="1:5" x14ac:dyDescent="0.15">
      <c r="A15" s="255">
        <v>12</v>
      </c>
      <c r="B15" s="73" t="s">
        <v>312</v>
      </c>
      <c r="C15" s="203"/>
      <c r="D15" s="202"/>
      <c r="E15" s="248" t="s">
        <v>574</v>
      </c>
    </row>
    <row r="16" spans="1:5" x14ac:dyDescent="0.15">
      <c r="A16" s="255">
        <v>13</v>
      </c>
      <c r="B16" s="73" t="s">
        <v>317</v>
      </c>
      <c r="C16" s="203"/>
      <c r="D16" s="202"/>
      <c r="E16" s="248"/>
    </row>
    <row r="17" spans="1:5" x14ac:dyDescent="0.15">
      <c r="A17" s="255">
        <v>14</v>
      </c>
      <c r="B17" s="73" t="s">
        <v>316</v>
      </c>
      <c r="C17" s="203"/>
      <c r="D17" s="202"/>
      <c r="E17" s="248"/>
    </row>
    <row r="18" spans="1:5" ht="14" thickBot="1" x14ac:dyDescent="0.2">
      <c r="A18" s="255">
        <v>15</v>
      </c>
      <c r="B18" s="75"/>
      <c r="C18" s="203"/>
      <c r="D18" s="563"/>
      <c r="E18" s="248"/>
    </row>
    <row r="19" spans="1:5" ht="14" thickBot="1" x14ac:dyDescent="0.2">
      <c r="A19" s="256" t="s">
        <v>239</v>
      </c>
      <c r="B19" s="257" t="s">
        <v>313</v>
      </c>
      <c r="C19" s="258">
        <f>SUM(C4:C18)</f>
        <v>0</v>
      </c>
      <c r="D19" s="259">
        <f>SUM(D4:D18)</f>
        <v>0</v>
      </c>
    </row>
    <row r="20" spans="1:5" x14ac:dyDescent="0.15">
      <c r="B20" s="132" t="str">
        <f>"Udgifterne i "&amp;D3&amp;" fordeles med 7/12 og 5/12"</f>
        <v>Udgifterne i 2019 fordeles med 7/12 og 5/12</v>
      </c>
    </row>
    <row r="22" spans="1:5" x14ac:dyDescent="0.15">
      <c r="A22" s="260" t="s">
        <v>325</v>
      </c>
      <c r="B22" s="260"/>
      <c r="C22" s="261" t="e">
        <f ca="1">Raabudget!D16</f>
        <v>#N/A</v>
      </c>
      <c r="D22" s="262" t="e">
        <f ca="1">Raabudget!F16+Raabudget!H16</f>
        <v>#N/A</v>
      </c>
    </row>
  </sheetData>
  <sheetProtection sheet="1" objects="1" scenarios="1" formatCells="0" formatColumns="0" formatRows="0"/>
  <hyperlinks>
    <hyperlink ref="E1" location="'9.Uv.'!A1" display="til 'Budget'"/>
  </hyperlinks>
  <pageMargins left="0.75" right="0.75" top="1" bottom="1" header="0.5" footer="0.5"/>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2"/>
  <sheetViews>
    <sheetView zoomScale="150" zoomScaleNormal="150" zoomScalePageLayoutView="150" workbookViewId="0">
      <selection activeCell="C4" sqref="C4:D9"/>
    </sheetView>
  </sheetViews>
  <sheetFormatPr baseColWidth="10" defaultColWidth="10.83203125" defaultRowHeight="13" x14ac:dyDescent="0.15"/>
  <cols>
    <col min="1" max="1" width="7.5" style="132" customWidth="1"/>
    <col min="2" max="2" width="31.83203125" style="132" customWidth="1"/>
    <col min="3" max="16384" width="10.83203125" style="132"/>
  </cols>
  <sheetData>
    <row r="1" spans="1:5" x14ac:dyDescent="0.15">
      <c r="A1" s="132" t="s">
        <v>378</v>
      </c>
      <c r="E1" s="544" t="s">
        <v>558</v>
      </c>
    </row>
    <row r="2" spans="1:5" ht="14" thickBot="1" x14ac:dyDescent="0.2">
      <c r="A2" s="132" t="s">
        <v>301</v>
      </c>
    </row>
    <row r="3" spans="1:5" ht="14" thickBot="1" x14ac:dyDescent="0.2">
      <c r="A3" s="251" t="s">
        <v>251</v>
      </c>
      <c r="B3" s="252" t="s">
        <v>252</v>
      </c>
      <c r="C3" s="253">
        <f>aarstal</f>
        <v>2018</v>
      </c>
      <c r="D3" s="254">
        <f>C3+1</f>
        <v>2019</v>
      </c>
    </row>
    <row r="4" spans="1:5" x14ac:dyDescent="0.15">
      <c r="A4" s="255">
        <v>1</v>
      </c>
      <c r="B4" s="198" t="s">
        <v>318</v>
      </c>
      <c r="C4" s="199"/>
      <c r="D4" s="200"/>
      <c r="E4" s="248"/>
    </row>
    <row r="5" spans="1:5" x14ac:dyDescent="0.15">
      <c r="A5" s="255">
        <v>2</v>
      </c>
      <c r="B5" s="198" t="s">
        <v>320</v>
      </c>
      <c r="C5" s="201"/>
      <c r="D5" s="202"/>
      <c r="E5" s="248"/>
    </row>
    <row r="6" spans="1:5" x14ac:dyDescent="0.15">
      <c r="A6" s="255">
        <v>3</v>
      </c>
      <c r="B6" s="198" t="s">
        <v>302</v>
      </c>
      <c r="C6" s="203"/>
      <c r="D6" s="202"/>
      <c r="E6" s="248" t="str">
        <f>"Copydan-afgift er i "&amp;aarstal&amp;" ca. 216 kr. pr. elev. Der betales dog først i "&amp;aarstal+1</f>
        <v>Copydan-afgift er i 2018 ca. 216 kr. pr. elev. Der betales dog først i 2019</v>
      </c>
    </row>
    <row r="7" spans="1:5" x14ac:dyDescent="0.15">
      <c r="A7" s="255">
        <v>4</v>
      </c>
      <c r="B7" s="198" t="s">
        <v>306</v>
      </c>
      <c r="C7" s="203"/>
      <c r="D7" s="202"/>
      <c r="E7" s="248"/>
    </row>
    <row r="8" spans="1:5" x14ac:dyDescent="0.15">
      <c r="A8" s="255">
        <v>5</v>
      </c>
      <c r="B8" s="198" t="s">
        <v>307</v>
      </c>
      <c r="C8" s="203"/>
      <c r="D8" s="202"/>
      <c r="E8" s="248"/>
    </row>
    <row r="9" spans="1:5" x14ac:dyDescent="0.15">
      <c r="A9" s="255">
        <v>6</v>
      </c>
      <c r="B9" s="198" t="s">
        <v>308</v>
      </c>
      <c r="C9" s="203"/>
      <c r="D9" s="202"/>
      <c r="E9" s="248"/>
    </row>
    <row r="10" spans="1:5" x14ac:dyDescent="0.15">
      <c r="A10" s="255">
        <v>7</v>
      </c>
      <c r="B10" s="198" t="s">
        <v>308</v>
      </c>
      <c r="C10" s="203"/>
      <c r="D10" s="202"/>
      <c r="E10" s="248"/>
    </row>
    <row r="11" spans="1:5" x14ac:dyDescent="0.15">
      <c r="A11" s="255">
        <v>8</v>
      </c>
      <c r="B11" s="198" t="s">
        <v>319</v>
      </c>
      <c r="C11" s="203"/>
      <c r="D11" s="202"/>
      <c r="E11" s="248"/>
    </row>
    <row r="12" spans="1:5" x14ac:dyDescent="0.15">
      <c r="A12" s="255">
        <v>9</v>
      </c>
      <c r="B12" s="204" t="s">
        <v>321</v>
      </c>
      <c r="C12" s="203"/>
      <c r="D12" s="202"/>
      <c r="E12" s="248"/>
    </row>
    <row r="13" spans="1:5" x14ac:dyDescent="0.15">
      <c r="A13" s="255">
        <v>10</v>
      </c>
      <c r="B13" s="75"/>
      <c r="C13" s="203"/>
      <c r="D13" s="202"/>
      <c r="E13" s="248" t="s">
        <v>315</v>
      </c>
    </row>
    <row r="14" spans="1:5" x14ac:dyDescent="0.15">
      <c r="A14" s="255">
        <v>11</v>
      </c>
      <c r="B14" s="75"/>
      <c r="C14" s="203"/>
      <c r="D14" s="202"/>
      <c r="E14" s="248"/>
    </row>
    <row r="15" spans="1:5" x14ac:dyDescent="0.15">
      <c r="A15" s="255">
        <v>12</v>
      </c>
      <c r="B15" s="75"/>
      <c r="C15" s="203"/>
      <c r="D15" s="202"/>
      <c r="E15" s="248"/>
    </row>
    <row r="16" spans="1:5" x14ac:dyDescent="0.15">
      <c r="A16" s="255">
        <v>13</v>
      </c>
      <c r="B16" s="75"/>
      <c r="C16" s="203"/>
      <c r="D16" s="202"/>
      <c r="E16" s="248"/>
    </row>
    <row r="17" spans="1:5" x14ac:dyDescent="0.15">
      <c r="A17" s="255">
        <v>14</v>
      </c>
      <c r="B17" s="75"/>
      <c r="C17" s="203"/>
      <c r="D17" s="202"/>
      <c r="E17" s="248"/>
    </row>
    <row r="18" spans="1:5" ht="14" thickBot="1" x14ac:dyDescent="0.2">
      <c r="A18" s="255">
        <v>15</v>
      </c>
      <c r="B18" s="75"/>
      <c r="C18" s="203"/>
      <c r="D18" s="202"/>
      <c r="E18" s="248"/>
    </row>
    <row r="19" spans="1:5" ht="14" thickBot="1" x14ac:dyDescent="0.2">
      <c r="A19" s="256" t="s">
        <v>239</v>
      </c>
      <c r="B19" s="257" t="s">
        <v>313</v>
      </c>
      <c r="C19" s="258">
        <f>SUM(C4:C18)</f>
        <v>0</v>
      </c>
      <c r="D19" s="259">
        <f>SUM(D4:D18)</f>
        <v>0</v>
      </c>
    </row>
    <row r="20" spans="1:5" x14ac:dyDescent="0.15">
      <c r="B20" s="132" t="str">
        <f>"Udgifterne i "&amp;D3&amp;" fordeles med 7/12 og 5/12"</f>
        <v>Udgifterne i 2019 fordeles med 7/12 og 5/12</v>
      </c>
    </row>
    <row r="22" spans="1:5" x14ac:dyDescent="0.15">
      <c r="A22" s="260" t="s">
        <v>325</v>
      </c>
      <c r="B22" s="260"/>
      <c r="C22" s="263" t="e">
        <f ca="1">Raabudget!D17</f>
        <v>#N/A</v>
      </c>
      <c r="D22" s="262" t="e">
        <f ca="1">Raabudget!F17+Raabudget!H17</f>
        <v>#N/A</v>
      </c>
    </row>
  </sheetData>
  <sheetProtection sheet="1" objects="1" scenarios="1" formatCells="0" formatColumns="0" formatRows="0"/>
  <hyperlinks>
    <hyperlink ref="E1" location="'10.SFOudg.'!A1" display="til 'Budget'"/>
  </hyperlinks>
  <pageMargins left="0.75" right="0.75" top="1" bottom="1" header="0.5" footer="0.5"/>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9"/>
  <sheetViews>
    <sheetView zoomScale="150" zoomScaleNormal="150" zoomScalePageLayoutView="150" workbookViewId="0">
      <selection activeCell="B8" sqref="B8:D8"/>
    </sheetView>
  </sheetViews>
  <sheetFormatPr baseColWidth="10" defaultColWidth="10.83203125" defaultRowHeight="13" x14ac:dyDescent="0.15"/>
  <cols>
    <col min="1" max="1" width="35.5" style="132" customWidth="1"/>
    <col min="2" max="2" width="10.83203125" style="132"/>
    <col min="3" max="4" width="12.5" style="132" customWidth="1"/>
    <col min="5" max="16384" width="10.83203125" style="132"/>
  </cols>
  <sheetData>
    <row r="1" spans="1:5" x14ac:dyDescent="0.15">
      <c r="A1" s="131" t="s">
        <v>323</v>
      </c>
      <c r="D1" s="544" t="s">
        <v>558</v>
      </c>
    </row>
    <row r="2" spans="1:5" x14ac:dyDescent="0.15">
      <c r="A2" s="132" t="s">
        <v>331</v>
      </c>
    </row>
    <row r="3" spans="1:5" x14ac:dyDescent="0.15">
      <c r="A3" s="132" t="s">
        <v>324</v>
      </c>
    </row>
    <row r="5" spans="1:5" x14ac:dyDescent="0.15">
      <c r="A5" s="264"/>
      <c r="B5" s="265">
        <f>aarstal</f>
        <v>2018</v>
      </c>
      <c r="C5" s="265" t="str">
        <f>"jan - jul "&amp;aarstal+1</f>
        <v>jan - jul 2019</v>
      </c>
      <c r="D5" s="265" t="str">
        <f>"aug - dec "&amp;aarstal+1</f>
        <v>aug - dec 2019</v>
      </c>
    </row>
    <row r="6" spans="1:5" x14ac:dyDescent="0.15">
      <c r="A6" s="266" t="s">
        <v>332</v>
      </c>
      <c r="B6" s="267" t="e">
        <f ca="1">Raabudget!D19</f>
        <v>#N/A</v>
      </c>
      <c r="C6" s="267" t="e">
        <f ca="1">Raabudget!F19</f>
        <v>#N/A</v>
      </c>
      <c r="D6" s="267" t="e">
        <f ca="1">Raabudget!H19</f>
        <v>#N/A</v>
      </c>
    </row>
    <row r="8" spans="1:5" x14ac:dyDescent="0.15">
      <c r="A8" s="132" t="s">
        <v>333</v>
      </c>
      <c r="B8" s="39"/>
      <c r="C8" s="39"/>
      <c r="D8" s="39"/>
      <c r="E8" s="132" t="s">
        <v>213</v>
      </c>
    </row>
    <row r="9" spans="1:5" x14ac:dyDescent="0.15">
      <c r="B9" s="241" t="s">
        <v>335</v>
      </c>
      <c r="C9" s="241" t="s">
        <v>336</v>
      </c>
      <c r="D9" s="241" t="s">
        <v>335</v>
      </c>
    </row>
  </sheetData>
  <sheetProtection sheet="1" objects="1" scenarios="1" formatCells="0" formatColumns="0" formatRows="0"/>
  <hyperlinks>
    <hyperlink ref="D1" location="'12.Ejd.loen'!A1" display="til 'Budget'"/>
  </hyperlinks>
  <pageMargins left="0.75" right="0.75" top="1" bottom="1" header="0.5" footer="0.5"/>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7"/>
  <sheetViews>
    <sheetView zoomScale="150" zoomScaleNormal="150" zoomScalePageLayoutView="150" workbookViewId="0">
      <selection activeCell="B6" sqref="B6:D6"/>
    </sheetView>
  </sheetViews>
  <sheetFormatPr baseColWidth="10" defaultColWidth="10.83203125" defaultRowHeight="13" x14ac:dyDescent="0.15"/>
  <cols>
    <col min="1" max="1" width="33.83203125" style="1" customWidth="1"/>
    <col min="2" max="16384" width="10.83203125" style="1"/>
  </cols>
  <sheetData>
    <row r="1" spans="1:5" x14ac:dyDescent="0.15">
      <c r="A1" s="1" t="s">
        <v>330</v>
      </c>
      <c r="D1" s="544" t="s">
        <v>558</v>
      </c>
    </row>
    <row r="3" spans="1:5" x14ac:dyDescent="0.15">
      <c r="A3" s="76"/>
      <c r="B3" s="217">
        <f>aarstal</f>
        <v>2018</v>
      </c>
      <c r="C3" s="217" t="str">
        <f>"jan - jul "&amp;aarstal+1</f>
        <v>jan - jul 2019</v>
      </c>
      <c r="D3" s="217" t="str">
        <f>"aug - dec "&amp;aarstal+1</f>
        <v>aug - dec 2019</v>
      </c>
    </row>
    <row r="4" spans="1:5" x14ac:dyDescent="0.15">
      <c r="A4" s="218" t="s">
        <v>561</v>
      </c>
      <c r="B4" s="170" t="e">
        <f ca="1">Raabudget!D20</f>
        <v>#N/A</v>
      </c>
      <c r="C4" s="170" t="e">
        <f ca="1">Raabudget!F20</f>
        <v>#N/A</v>
      </c>
      <c r="D4" s="170" t="e">
        <f ca="1">Raabudget!H20</f>
        <v>#N/A</v>
      </c>
    </row>
    <row r="6" spans="1:5" x14ac:dyDescent="0.15">
      <c r="A6" s="1" t="s">
        <v>334</v>
      </c>
      <c r="B6" s="39"/>
      <c r="C6" s="39"/>
      <c r="D6" s="39"/>
      <c r="E6" s="1" t="s">
        <v>213</v>
      </c>
    </row>
    <row r="7" spans="1:5" x14ac:dyDescent="0.15">
      <c r="B7" s="10" t="s">
        <v>335</v>
      </c>
      <c r="C7" s="10" t="s">
        <v>336</v>
      </c>
      <c r="D7" s="10" t="s">
        <v>335</v>
      </c>
    </row>
  </sheetData>
  <sheetProtection sheet="1" objects="1" scenarios="1" formatCells="0" formatColumns="0" formatRows="0"/>
  <hyperlinks>
    <hyperlink ref="D1" location="'13.Lokaleleje'!A1" display="til 'Budget'"/>
  </hyperlinks>
  <pageMargins left="0.75" right="0.75" top="1" bottom="1" header="0.5" footer="0.5"/>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2"/>
  <sheetViews>
    <sheetView zoomScale="150" zoomScaleNormal="150" zoomScalePageLayoutView="150" workbookViewId="0">
      <selection activeCell="C4" sqref="C4"/>
    </sheetView>
  </sheetViews>
  <sheetFormatPr baseColWidth="10" defaultColWidth="10.83203125" defaultRowHeight="13" x14ac:dyDescent="0.15"/>
  <cols>
    <col min="1" max="1" width="7.5" style="132" customWidth="1"/>
    <col min="2" max="2" width="28.6640625" style="132" customWidth="1"/>
    <col min="3" max="16384" width="10.83203125" style="132"/>
  </cols>
  <sheetData>
    <row r="1" spans="1:5" x14ac:dyDescent="0.15">
      <c r="A1" s="131" t="s">
        <v>349</v>
      </c>
      <c r="D1" s="544" t="s">
        <v>558</v>
      </c>
    </row>
    <row r="2" spans="1:5" ht="14" thickBot="1" x14ac:dyDescent="0.2"/>
    <row r="3" spans="1:5" ht="14" thickBot="1" x14ac:dyDescent="0.2">
      <c r="A3" s="251" t="s">
        <v>251</v>
      </c>
      <c r="B3" s="252" t="s">
        <v>252</v>
      </c>
      <c r="C3" s="253">
        <f>aarstal</f>
        <v>2018</v>
      </c>
      <c r="D3" s="254">
        <f>C3+1</f>
        <v>2019</v>
      </c>
    </row>
    <row r="4" spans="1:5" x14ac:dyDescent="0.15">
      <c r="A4" s="255">
        <v>1</v>
      </c>
      <c r="B4" s="198" t="s">
        <v>338</v>
      </c>
      <c r="C4" s="199"/>
      <c r="D4" s="200"/>
      <c r="E4" s="248" t="s">
        <v>346</v>
      </c>
    </row>
    <row r="5" spans="1:5" x14ac:dyDescent="0.15">
      <c r="A5" s="255">
        <v>2</v>
      </c>
      <c r="B5" s="198" t="s">
        <v>348</v>
      </c>
      <c r="C5" s="201"/>
      <c r="D5" s="202"/>
      <c r="E5" s="248"/>
    </row>
    <row r="6" spans="1:5" ht="14" thickBot="1" x14ac:dyDescent="0.2">
      <c r="A6" s="255">
        <v>3</v>
      </c>
      <c r="B6" s="198" t="s">
        <v>347</v>
      </c>
      <c r="C6" s="203"/>
      <c r="D6" s="202"/>
      <c r="E6" s="248" t="s">
        <v>353</v>
      </c>
    </row>
    <row r="7" spans="1:5" ht="14" thickBot="1" x14ac:dyDescent="0.2">
      <c r="A7" s="256" t="s">
        <v>239</v>
      </c>
      <c r="B7" s="257" t="s">
        <v>350</v>
      </c>
      <c r="C7" s="258">
        <f>SUM(C4:C6)</f>
        <v>0</v>
      </c>
      <c r="D7" s="259">
        <f>SUM(D4:D6)</f>
        <v>0</v>
      </c>
      <c r="E7" s="248"/>
    </row>
    <row r="8" spans="1:5" x14ac:dyDescent="0.15">
      <c r="B8" s="132" t="str">
        <f>"Udgifterne i "&amp;$D$3&amp;" fordeles med 7/12 og 5/12"</f>
        <v>Udgifterne i 2019 fordeles med 7/12 og 5/12</v>
      </c>
    </row>
    <row r="9" spans="1:5" x14ac:dyDescent="0.15">
      <c r="A9" s="260" t="s">
        <v>325</v>
      </c>
      <c r="B9" s="260"/>
      <c r="C9" s="261" t="e">
        <f ca="1">Raabudget!D21</f>
        <v>#N/A</v>
      </c>
      <c r="D9" s="262" t="e">
        <f ca="1">Raabudget!F21+Raabudget!H21</f>
        <v>#N/A</v>
      </c>
    </row>
    <row r="10" spans="1:5" ht="14" thickBot="1" x14ac:dyDescent="0.2"/>
    <row r="11" spans="1:5" ht="14" thickBot="1" x14ac:dyDescent="0.2">
      <c r="A11" s="251" t="s">
        <v>251</v>
      </c>
      <c r="B11" s="252" t="s">
        <v>252</v>
      </c>
      <c r="C11" s="253">
        <f>aarstal</f>
        <v>2018</v>
      </c>
      <c r="D11" s="254">
        <f>C11+1</f>
        <v>2019</v>
      </c>
    </row>
    <row r="12" spans="1:5" ht="14" thickBot="1" x14ac:dyDescent="0.2">
      <c r="A12" s="268">
        <v>1</v>
      </c>
      <c r="B12" s="219" t="s">
        <v>344</v>
      </c>
      <c r="C12" s="220"/>
      <c r="D12" s="221"/>
      <c r="E12" s="248"/>
    </row>
    <row r="13" spans="1:5" x14ac:dyDescent="0.15">
      <c r="B13" s="132" t="str">
        <f>"Udgifterne i "&amp;$D$3&amp;" fordeles med 7/12 og 5/12"</f>
        <v>Udgifterne i 2019 fordeles med 7/12 og 5/12</v>
      </c>
    </row>
    <row r="14" spans="1:5" x14ac:dyDescent="0.15">
      <c r="A14" s="260" t="s">
        <v>325</v>
      </c>
      <c r="B14" s="260"/>
      <c r="C14" s="261" t="e">
        <f ca="1">Raabudget!D22</f>
        <v>#N/A</v>
      </c>
      <c r="D14" s="262" t="e">
        <f ca="1">Raabudget!F22+Raabudget!H22</f>
        <v>#N/A</v>
      </c>
    </row>
    <row r="15" spans="1:5" ht="14" thickBot="1" x14ac:dyDescent="0.2"/>
    <row r="16" spans="1:5" ht="14" thickBot="1" x14ac:dyDescent="0.2">
      <c r="A16" s="251" t="s">
        <v>251</v>
      </c>
      <c r="B16" s="252" t="s">
        <v>252</v>
      </c>
      <c r="C16" s="253">
        <f>aarstal</f>
        <v>2018</v>
      </c>
      <c r="D16" s="254">
        <f>C16+1</f>
        <v>2019</v>
      </c>
    </row>
    <row r="17" spans="1:5" x14ac:dyDescent="0.15">
      <c r="A17" s="255">
        <v>1</v>
      </c>
      <c r="B17" s="198" t="s">
        <v>339</v>
      </c>
      <c r="C17" s="203"/>
      <c r="D17" s="202"/>
      <c r="E17" s="248"/>
    </row>
    <row r="18" spans="1:5" x14ac:dyDescent="0.15">
      <c r="A18" s="255">
        <v>2</v>
      </c>
      <c r="B18" s="198" t="s">
        <v>340</v>
      </c>
      <c r="C18" s="203"/>
      <c r="D18" s="202"/>
      <c r="E18" s="248"/>
    </row>
    <row r="19" spans="1:5" x14ac:dyDescent="0.15">
      <c r="A19" s="255">
        <v>3</v>
      </c>
      <c r="B19" s="198" t="s">
        <v>341</v>
      </c>
      <c r="C19" s="203"/>
      <c r="D19" s="202"/>
      <c r="E19" s="248"/>
    </row>
    <row r="20" spans="1:5" x14ac:dyDescent="0.15">
      <c r="A20" s="255">
        <v>4</v>
      </c>
      <c r="B20" s="198" t="s">
        <v>342</v>
      </c>
      <c r="C20" s="203"/>
      <c r="D20" s="202"/>
      <c r="E20" s="248"/>
    </row>
    <row r="21" spans="1:5" ht="14" thickBot="1" x14ac:dyDescent="0.2">
      <c r="A21" s="255">
        <v>5</v>
      </c>
      <c r="B21" s="198" t="s">
        <v>343</v>
      </c>
      <c r="C21" s="203"/>
      <c r="D21" s="202"/>
      <c r="E21" s="248"/>
    </row>
    <row r="22" spans="1:5" ht="14" thickBot="1" x14ac:dyDescent="0.2">
      <c r="A22" s="256" t="s">
        <v>239</v>
      </c>
      <c r="B22" s="257" t="s">
        <v>351</v>
      </c>
      <c r="C22" s="258">
        <f>SUM(C17:C21)</f>
        <v>0</v>
      </c>
      <c r="D22" s="259">
        <f>SUM(D17:D21)</f>
        <v>0</v>
      </c>
      <c r="E22" s="248"/>
    </row>
    <row r="23" spans="1:5" x14ac:dyDescent="0.15">
      <c r="B23" s="132" t="str">
        <f>"Udgifterne i "&amp;$D$3&amp;" fordeles med 7/12 og 5/12"</f>
        <v>Udgifterne i 2019 fordeles med 7/12 og 5/12</v>
      </c>
    </row>
    <row r="24" spans="1:5" x14ac:dyDescent="0.15">
      <c r="A24" s="260" t="s">
        <v>325</v>
      </c>
      <c r="B24" s="260"/>
      <c r="C24" s="261" t="e">
        <f ca="1">Raabudget!D23</f>
        <v>#N/A</v>
      </c>
      <c r="D24" s="262" t="e">
        <f ca="1">Raabudget!F23+Raabudget!H23</f>
        <v>#N/A</v>
      </c>
    </row>
    <row r="25" spans="1:5" ht="14" thickBot="1" x14ac:dyDescent="0.2"/>
    <row r="26" spans="1:5" ht="14" thickBot="1" x14ac:dyDescent="0.2">
      <c r="A26" s="251" t="s">
        <v>251</v>
      </c>
      <c r="B26" s="252" t="s">
        <v>252</v>
      </c>
      <c r="C26" s="253">
        <f>aarstal</f>
        <v>2018</v>
      </c>
      <c r="D26" s="254">
        <f>C26+1</f>
        <v>2019</v>
      </c>
    </row>
    <row r="27" spans="1:5" x14ac:dyDescent="0.15">
      <c r="A27" s="255">
        <v>1</v>
      </c>
      <c r="B27" s="204" t="s">
        <v>319</v>
      </c>
      <c r="C27" s="203"/>
      <c r="D27" s="202"/>
      <c r="E27" s="248"/>
    </row>
    <row r="28" spans="1:5" x14ac:dyDescent="0.15">
      <c r="A28" s="255">
        <v>2</v>
      </c>
      <c r="B28" s="73" t="s">
        <v>345</v>
      </c>
      <c r="C28" s="203"/>
      <c r="D28" s="202"/>
      <c r="E28" s="248"/>
    </row>
    <row r="29" spans="1:5" ht="14" thickBot="1" x14ac:dyDescent="0.2">
      <c r="A29" s="255">
        <v>3</v>
      </c>
      <c r="B29" s="75"/>
      <c r="C29" s="203"/>
      <c r="D29" s="202"/>
      <c r="E29" s="248"/>
    </row>
    <row r="30" spans="1:5" ht="14" thickBot="1" x14ac:dyDescent="0.2">
      <c r="A30" s="256" t="s">
        <v>239</v>
      </c>
      <c r="B30" s="257" t="s">
        <v>352</v>
      </c>
      <c r="C30" s="258">
        <f>SUM(C27:C29)</f>
        <v>0</v>
      </c>
      <c r="D30" s="259">
        <f>SUM(D27:D29)</f>
        <v>0</v>
      </c>
    </row>
    <row r="31" spans="1:5" x14ac:dyDescent="0.15">
      <c r="B31" s="132" t="str">
        <f>"Udgifterne i "&amp;D3&amp;" fordeles med 7/12 og 5/12"</f>
        <v>Udgifterne i 2019 fordeles med 7/12 og 5/12</v>
      </c>
    </row>
    <row r="32" spans="1:5" x14ac:dyDescent="0.15">
      <c r="A32" s="260" t="s">
        <v>325</v>
      </c>
      <c r="B32" s="260"/>
      <c r="C32" s="261" t="e">
        <f ca="1">Raabudget!D24</f>
        <v>#N/A</v>
      </c>
      <c r="D32" s="262" t="e">
        <f ca="1">Raabudget!F24+Raabudget!H24</f>
        <v>#N/A</v>
      </c>
    </row>
  </sheetData>
  <sheetProtection sheet="1" objects="1" scenarios="1" formatCells="0" formatColumns="0" formatRows="0"/>
  <hyperlinks>
    <hyperlink ref="D1" location="'14.Ejendom'!A1" display="til 'Budget'"/>
  </hyperlinks>
  <pageMargins left="0.75" right="0.75" top="1" bottom="1" header="0.5" footer="0.5"/>
  <pageSetup paperSize="9"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9"/>
  <sheetViews>
    <sheetView zoomScale="150" zoomScaleNormal="150" zoomScalePageLayoutView="150" workbookViewId="0">
      <selection activeCell="B8" sqref="B8:D8"/>
    </sheetView>
  </sheetViews>
  <sheetFormatPr baseColWidth="10" defaultColWidth="10.83203125" defaultRowHeight="13" x14ac:dyDescent="0.15"/>
  <cols>
    <col min="1" max="1" width="35.5" style="132" customWidth="1"/>
    <col min="2" max="2" width="10.83203125" style="132"/>
    <col min="3" max="4" width="12.5" style="132" customWidth="1"/>
    <col min="5" max="16384" width="10.83203125" style="132"/>
  </cols>
  <sheetData>
    <row r="1" spans="1:5" x14ac:dyDescent="0.15">
      <c r="A1" s="131" t="s">
        <v>354</v>
      </c>
      <c r="D1" s="544" t="s">
        <v>558</v>
      </c>
    </row>
    <row r="2" spans="1:5" x14ac:dyDescent="0.15">
      <c r="A2" s="132" t="s">
        <v>355</v>
      </c>
    </row>
    <row r="5" spans="1:5" x14ac:dyDescent="0.15">
      <c r="A5" s="264"/>
      <c r="B5" s="265">
        <f>aarstal</f>
        <v>2018</v>
      </c>
      <c r="C5" s="265" t="str">
        <f>"jan - jul "&amp;aarstal+1</f>
        <v>jan - jul 2019</v>
      </c>
      <c r="D5" s="265" t="str">
        <f>"aug - dec "&amp;aarstal+1</f>
        <v>aug - dec 2019</v>
      </c>
    </row>
    <row r="6" spans="1:5" x14ac:dyDescent="0.15">
      <c r="A6" s="266" t="s">
        <v>332</v>
      </c>
      <c r="B6" s="267" t="e">
        <f ca="1">Raabudget!D27</f>
        <v>#N/A</v>
      </c>
      <c r="C6" s="267" t="e">
        <f ca="1">Raabudget!F27</f>
        <v>#N/A</v>
      </c>
      <c r="D6" s="267" t="e">
        <f ca="1">Raabudget!H27</f>
        <v>#N/A</v>
      </c>
    </row>
    <row r="8" spans="1:5" x14ac:dyDescent="0.15">
      <c r="A8" s="132" t="s">
        <v>387</v>
      </c>
      <c r="B8" s="294"/>
      <c r="C8" s="39"/>
      <c r="D8" s="39"/>
      <c r="E8" s="132" t="s">
        <v>213</v>
      </c>
    </row>
    <row r="9" spans="1:5" x14ac:dyDescent="0.15">
      <c r="B9" s="241" t="s">
        <v>335</v>
      </c>
      <c r="C9" s="241" t="s">
        <v>336</v>
      </c>
      <c r="D9" s="241" t="s">
        <v>335</v>
      </c>
    </row>
  </sheetData>
  <sheetProtection sheet="1" objects="1" scenarios="1" formatCells="0" formatColumns="0" formatRows="0"/>
  <hyperlinks>
    <hyperlink ref="D1" location="'20.Adm.loen'!A1" display="til 'Budget'"/>
  </hyperlinks>
  <pageMargins left="0.75" right="0.75" top="1" bottom="1" header="0.5" footer="0.5"/>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4"/>
  <sheetViews>
    <sheetView zoomScale="150" zoomScaleNormal="150" zoomScalePageLayoutView="150" workbookViewId="0">
      <selection activeCell="C4" sqref="C4:D20"/>
    </sheetView>
  </sheetViews>
  <sheetFormatPr baseColWidth="10" defaultColWidth="10.83203125" defaultRowHeight="13" x14ac:dyDescent="0.15"/>
  <cols>
    <col min="1" max="1" width="6.83203125" style="132" customWidth="1"/>
    <col min="2" max="2" width="28.33203125" style="132" customWidth="1"/>
    <col min="3" max="16384" width="10.83203125" style="132"/>
  </cols>
  <sheetData>
    <row r="1" spans="1:5" x14ac:dyDescent="0.15">
      <c r="A1" s="132" t="s">
        <v>379</v>
      </c>
      <c r="E1" s="544" t="s">
        <v>558</v>
      </c>
    </row>
    <row r="2" spans="1:5" ht="14" thickBot="1" x14ac:dyDescent="0.2">
      <c r="A2" s="132" t="s">
        <v>301</v>
      </c>
    </row>
    <row r="3" spans="1:5" ht="14" thickBot="1" x14ac:dyDescent="0.2">
      <c r="A3" s="251" t="s">
        <v>251</v>
      </c>
      <c r="B3" s="252" t="s">
        <v>252</v>
      </c>
      <c r="C3" s="253">
        <f>aarstal</f>
        <v>2018</v>
      </c>
      <c r="D3" s="254">
        <f>C3+1</f>
        <v>2019</v>
      </c>
    </row>
    <row r="4" spans="1:5" x14ac:dyDescent="0.15">
      <c r="A4" s="255">
        <v>1</v>
      </c>
      <c r="B4" s="198" t="s">
        <v>356</v>
      </c>
      <c r="C4" s="199"/>
      <c r="D4" s="200"/>
      <c r="E4" s="248" t="s">
        <v>370</v>
      </c>
    </row>
    <row r="5" spans="1:5" x14ac:dyDescent="0.15">
      <c r="A5" s="255">
        <v>2</v>
      </c>
      <c r="B5" s="198" t="s">
        <v>357</v>
      </c>
      <c r="C5" s="201"/>
      <c r="D5" s="202"/>
      <c r="E5" s="248"/>
    </row>
    <row r="6" spans="1:5" x14ac:dyDescent="0.15">
      <c r="A6" s="255">
        <v>3</v>
      </c>
      <c r="B6" s="198" t="s">
        <v>358</v>
      </c>
      <c r="C6" s="203"/>
      <c r="D6" s="202"/>
      <c r="E6" s="248" t="s">
        <v>373</v>
      </c>
    </row>
    <row r="7" spans="1:5" x14ac:dyDescent="0.15">
      <c r="A7" s="255">
        <v>4</v>
      </c>
      <c r="B7" s="198" t="s">
        <v>359</v>
      </c>
      <c r="C7" s="203"/>
      <c r="D7" s="202"/>
      <c r="E7" s="248"/>
    </row>
    <row r="8" spans="1:5" x14ac:dyDescent="0.15">
      <c r="A8" s="255">
        <v>5</v>
      </c>
      <c r="B8" s="198" t="s">
        <v>360</v>
      </c>
      <c r="C8" s="203"/>
      <c r="D8" s="202"/>
      <c r="E8" s="269" t="s">
        <v>371</v>
      </c>
    </row>
    <row r="9" spans="1:5" x14ac:dyDescent="0.15">
      <c r="A9" s="255">
        <v>6</v>
      </c>
      <c r="B9" s="198" t="s">
        <v>361</v>
      </c>
      <c r="C9" s="203"/>
      <c r="D9" s="202"/>
      <c r="E9" s="248"/>
    </row>
    <row r="10" spans="1:5" x14ac:dyDescent="0.15">
      <c r="A10" s="255">
        <v>7</v>
      </c>
      <c r="B10" s="198" t="s">
        <v>362</v>
      </c>
      <c r="C10" s="203"/>
      <c r="D10" s="202"/>
      <c r="E10" s="248"/>
    </row>
    <row r="11" spans="1:5" x14ac:dyDescent="0.15">
      <c r="A11" s="255">
        <v>8</v>
      </c>
      <c r="B11" s="198" t="s">
        <v>363</v>
      </c>
      <c r="C11" s="203"/>
      <c r="D11" s="202"/>
      <c r="E11" s="248"/>
    </row>
    <row r="12" spans="1:5" x14ac:dyDescent="0.15">
      <c r="A12" s="255">
        <v>9</v>
      </c>
      <c r="B12" s="204" t="s">
        <v>364</v>
      </c>
      <c r="C12" s="203"/>
      <c r="D12" s="202"/>
      <c r="E12" s="248"/>
    </row>
    <row r="13" spans="1:5" x14ac:dyDescent="0.15">
      <c r="A13" s="255">
        <v>10</v>
      </c>
      <c r="B13" s="73" t="s">
        <v>365</v>
      </c>
      <c r="C13" s="203"/>
      <c r="D13" s="202"/>
      <c r="E13" s="248"/>
    </row>
    <row r="14" spans="1:5" x14ac:dyDescent="0.15">
      <c r="A14" s="255">
        <v>11</v>
      </c>
      <c r="B14" s="73" t="s">
        <v>366</v>
      </c>
      <c r="C14" s="203"/>
      <c r="D14" s="202"/>
      <c r="E14" s="248"/>
    </row>
    <row r="15" spans="1:5" x14ac:dyDescent="0.15">
      <c r="A15" s="255">
        <v>12</v>
      </c>
      <c r="B15" s="73" t="s">
        <v>372</v>
      </c>
      <c r="C15" s="203"/>
      <c r="D15" s="202"/>
      <c r="E15" s="248"/>
    </row>
    <row r="16" spans="1:5" x14ac:dyDescent="0.15">
      <c r="A16" s="255">
        <v>13</v>
      </c>
      <c r="B16" s="73" t="s">
        <v>367</v>
      </c>
      <c r="C16" s="203"/>
      <c r="D16" s="202"/>
      <c r="E16" s="248"/>
    </row>
    <row r="17" spans="1:5" x14ac:dyDescent="0.15">
      <c r="A17" s="255">
        <v>14</v>
      </c>
      <c r="B17" s="73" t="s">
        <v>368</v>
      </c>
      <c r="C17" s="203"/>
      <c r="D17" s="202"/>
      <c r="E17" s="545" t="s">
        <v>575</v>
      </c>
    </row>
    <row r="18" spans="1:5" x14ac:dyDescent="0.15">
      <c r="A18" s="255">
        <v>15</v>
      </c>
      <c r="B18" s="73" t="s">
        <v>369</v>
      </c>
      <c r="C18" s="203"/>
      <c r="D18" s="202"/>
      <c r="E18" s="248"/>
    </row>
    <row r="19" spans="1:5" x14ac:dyDescent="0.15">
      <c r="A19" s="255">
        <v>16</v>
      </c>
      <c r="B19" s="73" t="s">
        <v>321</v>
      </c>
      <c r="C19" s="203"/>
      <c r="D19" s="202"/>
      <c r="E19" s="248"/>
    </row>
    <row r="20" spans="1:5" ht="14" thickBot="1" x14ac:dyDescent="0.2">
      <c r="A20" s="255">
        <v>17</v>
      </c>
      <c r="B20" s="75"/>
      <c r="C20" s="203"/>
      <c r="D20" s="202"/>
      <c r="E20" s="248"/>
    </row>
    <row r="21" spans="1:5" ht="14" thickBot="1" x14ac:dyDescent="0.2">
      <c r="A21" s="256" t="s">
        <v>239</v>
      </c>
      <c r="B21" s="257" t="s">
        <v>313</v>
      </c>
      <c r="C21" s="258">
        <f>SUM(C4:C20)</f>
        <v>0</v>
      </c>
      <c r="D21" s="259">
        <f>SUM(D4:D20)</f>
        <v>0</v>
      </c>
    </row>
    <row r="22" spans="1:5" x14ac:dyDescent="0.15">
      <c r="B22" s="132" t="str">
        <f>"Udgifterne i "&amp;D3&amp;" fordeles med 7/12 og 5/12"</f>
        <v>Udgifterne i 2019 fordeles med 7/12 og 5/12</v>
      </c>
    </row>
    <row r="24" spans="1:5" x14ac:dyDescent="0.15">
      <c r="A24" s="260" t="s">
        <v>325</v>
      </c>
      <c r="B24" s="260"/>
      <c r="C24" s="261" t="e">
        <f ca="1">Raabudget!D28</f>
        <v>#N/A</v>
      </c>
      <c r="D24" s="262" t="e">
        <f ca="1">Raabudget!F28+Raabudget!H28</f>
        <v>#N/A</v>
      </c>
    </row>
  </sheetData>
  <sheetProtection sheet="1" objects="1" scenarios="1" formatCells="0" formatColumns="0" formatRows="0"/>
  <hyperlinks>
    <hyperlink ref="E8" r:id="rId1"/>
    <hyperlink ref="E1" location="'21.Adm'!A1" display="til 'Budget'"/>
  </hyperlinks>
  <pageMargins left="0.75" right="0.75" top="1" bottom="1" header="0.5" footer="0.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N64"/>
  <sheetViews>
    <sheetView workbookViewId="0">
      <selection activeCell="D63" sqref="D63"/>
    </sheetView>
  </sheetViews>
  <sheetFormatPr baseColWidth="10" defaultColWidth="10.83203125" defaultRowHeight="13" x14ac:dyDescent="0.15"/>
  <cols>
    <col min="1" max="1" width="6.1640625" customWidth="1"/>
    <col min="2" max="2" width="29.6640625" bestFit="1" customWidth="1"/>
    <col min="6" max="6" width="11.6640625" customWidth="1"/>
    <col min="10" max="10" width="11.5" customWidth="1"/>
    <col min="52" max="52" width="11.83203125" customWidth="1"/>
  </cols>
  <sheetData>
    <row r="1" spans="1:66" ht="18" x14ac:dyDescent="0.2">
      <c r="A1" s="41" t="s">
        <v>569</v>
      </c>
    </row>
    <row r="2" spans="1:66" ht="16" x14ac:dyDescent="0.2">
      <c r="A2" s="561" t="s">
        <v>570</v>
      </c>
      <c r="B2" s="295"/>
      <c r="C2" s="565" t="s">
        <v>62</v>
      </c>
      <c r="D2" s="566"/>
      <c r="E2" s="565" t="s">
        <v>61</v>
      </c>
      <c r="F2" s="566"/>
      <c r="G2" s="565" t="s">
        <v>60</v>
      </c>
      <c r="H2" s="566"/>
      <c r="I2" s="565" t="s">
        <v>420</v>
      </c>
      <c r="J2" s="566"/>
      <c r="K2" s="565" t="s">
        <v>421</v>
      </c>
      <c r="L2" s="566"/>
      <c r="M2" s="565" t="s">
        <v>59</v>
      </c>
      <c r="N2" s="566"/>
      <c r="O2" s="565" t="s">
        <v>58</v>
      </c>
      <c r="P2" s="566"/>
      <c r="Q2" s="565" t="s">
        <v>57</v>
      </c>
      <c r="R2" s="566"/>
      <c r="S2" s="565" t="s">
        <v>422</v>
      </c>
      <c r="T2" s="566"/>
      <c r="U2" s="565" t="s">
        <v>423</v>
      </c>
      <c r="V2" s="566"/>
      <c r="W2" s="565" t="s">
        <v>56</v>
      </c>
      <c r="X2" s="566"/>
      <c r="Y2" s="565" t="s">
        <v>55</v>
      </c>
      <c r="Z2" s="566"/>
      <c r="AA2" s="565" t="s">
        <v>54</v>
      </c>
      <c r="AB2" s="566"/>
      <c r="AC2" s="565" t="s">
        <v>424</v>
      </c>
      <c r="AD2" s="566"/>
      <c r="AE2" s="565" t="s">
        <v>425</v>
      </c>
      <c r="AF2" s="566"/>
      <c r="AG2" s="565" t="s">
        <v>53</v>
      </c>
      <c r="AH2" s="566"/>
      <c r="AI2" s="565" t="s">
        <v>52</v>
      </c>
      <c r="AJ2" s="566"/>
      <c r="AK2" s="565" t="s">
        <v>51</v>
      </c>
      <c r="AL2" s="566"/>
      <c r="AM2" s="565" t="s">
        <v>426</v>
      </c>
      <c r="AN2" s="566"/>
      <c r="AO2" s="565" t="s">
        <v>427</v>
      </c>
      <c r="AP2" s="566"/>
      <c r="AQ2" s="565" t="s">
        <v>50</v>
      </c>
      <c r="AR2" s="566"/>
      <c r="AS2" s="565" t="s">
        <v>49</v>
      </c>
      <c r="AT2" s="566"/>
      <c r="AU2" s="565" t="s">
        <v>48</v>
      </c>
      <c r="AV2" s="566"/>
      <c r="AW2" s="565" t="s">
        <v>428</v>
      </c>
      <c r="AX2" s="566"/>
      <c r="AY2" s="565" t="s">
        <v>429</v>
      </c>
      <c r="AZ2" s="566"/>
      <c r="BA2" s="565" t="s">
        <v>47</v>
      </c>
      <c r="BB2" s="566"/>
      <c r="BC2" s="565" t="s">
        <v>46</v>
      </c>
      <c r="BD2" s="566"/>
      <c r="BE2" s="565" t="s">
        <v>45</v>
      </c>
      <c r="BF2" s="566"/>
      <c r="BG2" s="565" t="s">
        <v>430</v>
      </c>
      <c r="BH2" s="566"/>
      <c r="BI2" s="565" t="s">
        <v>429</v>
      </c>
      <c r="BJ2" s="566"/>
      <c r="BM2" s="546" t="e">
        <f>region*10+VLOOKUP(elevtal,stør,2,1)</f>
        <v>#N/A</v>
      </c>
      <c r="BN2" s="546" t="e">
        <f>VLOOKUP(BM2,BM3:BN32,2,0)</f>
        <v>#N/A</v>
      </c>
    </row>
    <row r="3" spans="1:66" x14ac:dyDescent="0.15">
      <c r="A3" s="296"/>
      <c r="B3" s="297" t="s">
        <v>398</v>
      </c>
      <c r="C3" s="298">
        <v>1</v>
      </c>
      <c r="D3" s="299" t="s">
        <v>401</v>
      </c>
      <c r="E3" s="298">
        <v>8</v>
      </c>
      <c r="F3" s="299" t="s">
        <v>401</v>
      </c>
      <c r="G3" s="298">
        <v>10</v>
      </c>
      <c r="H3" s="299" t="s">
        <v>432</v>
      </c>
      <c r="I3" s="298">
        <v>14</v>
      </c>
      <c r="J3" s="299" t="s">
        <v>401</v>
      </c>
      <c r="K3" s="298">
        <v>17</v>
      </c>
      <c r="L3" s="299" t="s">
        <v>435</v>
      </c>
      <c r="M3" s="298">
        <v>1</v>
      </c>
      <c r="N3" s="299" t="s">
        <v>401</v>
      </c>
      <c r="O3" s="298">
        <v>8</v>
      </c>
      <c r="P3" s="299" t="s">
        <v>431</v>
      </c>
      <c r="Q3" s="298">
        <v>11</v>
      </c>
      <c r="R3" s="299" t="s">
        <v>434</v>
      </c>
      <c r="S3" s="298">
        <v>17</v>
      </c>
      <c r="T3" s="299" t="s">
        <v>433</v>
      </c>
      <c r="U3" s="298">
        <v>14</v>
      </c>
      <c r="V3" s="299" t="s">
        <v>432</v>
      </c>
      <c r="W3" s="298">
        <v>1</v>
      </c>
      <c r="X3" s="299" t="s">
        <v>401</v>
      </c>
      <c r="Y3" s="298">
        <v>13</v>
      </c>
      <c r="Z3" s="299" t="s">
        <v>564</v>
      </c>
      <c r="AA3" s="298">
        <v>3</v>
      </c>
      <c r="AB3" s="299" t="s">
        <v>431</v>
      </c>
      <c r="AC3" s="298">
        <v>8</v>
      </c>
      <c r="AD3" s="299" t="s">
        <v>436</v>
      </c>
      <c r="AE3" s="298">
        <v>12</v>
      </c>
      <c r="AF3" s="299" t="s">
        <v>436</v>
      </c>
      <c r="AG3" s="298">
        <v>0</v>
      </c>
      <c r="AH3" s="299" t="s">
        <v>401</v>
      </c>
      <c r="AI3" s="298">
        <v>15</v>
      </c>
      <c r="AJ3" s="299" t="s">
        <v>432</v>
      </c>
      <c r="AK3" s="298">
        <v>11</v>
      </c>
      <c r="AL3" s="299" t="s">
        <v>436</v>
      </c>
      <c r="AM3" s="298">
        <v>9</v>
      </c>
      <c r="AN3" s="299" t="s">
        <v>434</v>
      </c>
      <c r="AO3" s="298">
        <v>4</v>
      </c>
      <c r="AP3" s="299" t="s">
        <v>432</v>
      </c>
      <c r="AQ3" s="298">
        <v>4</v>
      </c>
      <c r="AR3" s="299" t="s">
        <v>432</v>
      </c>
      <c r="AS3" s="298">
        <v>29</v>
      </c>
      <c r="AT3" s="299" t="s">
        <v>565</v>
      </c>
      <c r="AU3" s="298">
        <v>12</v>
      </c>
      <c r="AV3" s="299" t="s">
        <v>566</v>
      </c>
      <c r="AW3" s="298">
        <v>13</v>
      </c>
      <c r="AX3" s="299" t="s">
        <v>435</v>
      </c>
      <c r="AY3" s="298">
        <v>2</v>
      </c>
      <c r="AZ3" s="299" t="s">
        <v>434</v>
      </c>
      <c r="BA3" s="298">
        <v>10</v>
      </c>
      <c r="BB3" s="299" t="s">
        <v>433</v>
      </c>
      <c r="BC3" s="298">
        <v>26</v>
      </c>
      <c r="BD3" s="299" t="s">
        <v>567</v>
      </c>
      <c r="BE3" s="298">
        <v>9</v>
      </c>
      <c r="BF3" s="299" t="s">
        <v>434</v>
      </c>
      <c r="BG3" s="298">
        <v>5</v>
      </c>
      <c r="BH3" s="299" t="s">
        <v>436</v>
      </c>
      <c r="BI3" s="298">
        <v>2</v>
      </c>
      <c r="BJ3" s="299" t="s">
        <v>401</v>
      </c>
      <c r="BM3" s="547">
        <v>11</v>
      </c>
      <c r="BN3" s="548" t="s">
        <v>568</v>
      </c>
    </row>
    <row r="4" spans="1:66" x14ac:dyDescent="0.15">
      <c r="A4" s="300"/>
      <c r="B4" s="301" t="s">
        <v>400</v>
      </c>
      <c r="C4" s="298">
        <v>30</v>
      </c>
      <c r="D4" s="299" t="s">
        <v>401</v>
      </c>
      <c r="E4" s="298">
        <v>645</v>
      </c>
      <c r="F4" s="299" t="s">
        <v>401</v>
      </c>
      <c r="G4" s="298">
        <v>1319</v>
      </c>
      <c r="H4" s="299" t="s">
        <v>401</v>
      </c>
      <c r="I4" s="298">
        <v>2402</v>
      </c>
      <c r="J4" s="299" t="s">
        <v>401</v>
      </c>
      <c r="K4" s="298">
        <v>4820</v>
      </c>
      <c r="L4" s="299" t="s">
        <v>401</v>
      </c>
      <c r="M4" s="298">
        <v>23</v>
      </c>
      <c r="N4" s="299" t="s">
        <v>401</v>
      </c>
      <c r="O4" s="298">
        <v>676</v>
      </c>
      <c r="P4" s="299" t="s">
        <v>401</v>
      </c>
      <c r="Q4" s="298">
        <v>1440</v>
      </c>
      <c r="R4" s="299" t="s">
        <v>401</v>
      </c>
      <c r="S4" s="298">
        <v>3022</v>
      </c>
      <c r="T4" s="299" t="s">
        <v>401</v>
      </c>
      <c r="U4" s="298">
        <v>3509</v>
      </c>
      <c r="V4" s="299" t="s">
        <v>401</v>
      </c>
      <c r="W4" s="298">
        <v>35</v>
      </c>
      <c r="X4" s="299" t="s">
        <v>401</v>
      </c>
      <c r="Y4" s="298">
        <v>975</v>
      </c>
      <c r="Z4" s="299" t="s">
        <v>401</v>
      </c>
      <c r="AA4" s="298">
        <v>323</v>
      </c>
      <c r="AB4" s="299" t="s">
        <v>401</v>
      </c>
      <c r="AC4" s="298">
        <v>1447</v>
      </c>
      <c r="AD4" s="299" t="s">
        <v>401</v>
      </c>
      <c r="AE4" s="298">
        <v>8514</v>
      </c>
      <c r="AF4" s="299" t="s">
        <v>401</v>
      </c>
      <c r="AG4" s="298">
        <v>0</v>
      </c>
      <c r="AH4" s="299" t="s">
        <v>401</v>
      </c>
      <c r="AI4" s="298">
        <v>1132</v>
      </c>
      <c r="AJ4" s="299" t="s">
        <v>401</v>
      </c>
      <c r="AK4" s="298">
        <v>1366</v>
      </c>
      <c r="AL4" s="299" t="s">
        <v>401</v>
      </c>
      <c r="AM4" s="298">
        <v>1563</v>
      </c>
      <c r="AN4" s="299" t="s">
        <v>401</v>
      </c>
      <c r="AO4" s="298">
        <v>1128</v>
      </c>
      <c r="AP4" s="299" t="s">
        <v>401</v>
      </c>
      <c r="AQ4" s="298">
        <v>1128</v>
      </c>
      <c r="AR4" s="299" t="s">
        <v>401</v>
      </c>
      <c r="AS4" s="298">
        <v>2047</v>
      </c>
      <c r="AT4" s="299" t="s">
        <v>401</v>
      </c>
      <c r="AU4" s="298">
        <v>1503</v>
      </c>
      <c r="AV4" s="299" t="s">
        <v>401</v>
      </c>
      <c r="AW4" s="298">
        <v>2221</v>
      </c>
      <c r="AX4" s="299" t="s">
        <v>401</v>
      </c>
      <c r="AY4" s="298">
        <v>421</v>
      </c>
      <c r="AZ4" s="299" t="s">
        <v>401</v>
      </c>
      <c r="BA4" s="298">
        <v>374</v>
      </c>
      <c r="BB4" s="299" t="s">
        <v>401</v>
      </c>
      <c r="BC4" s="298">
        <v>1910</v>
      </c>
      <c r="BD4" s="299" t="s">
        <v>401</v>
      </c>
      <c r="BE4" s="298">
        <v>1061</v>
      </c>
      <c r="BF4" s="299" t="s">
        <v>401</v>
      </c>
      <c r="BG4" s="298">
        <v>899</v>
      </c>
      <c r="BH4" s="299" t="s">
        <v>401</v>
      </c>
      <c r="BI4" s="298">
        <v>421</v>
      </c>
      <c r="BJ4" s="299" t="s">
        <v>401</v>
      </c>
      <c r="BM4" s="549">
        <v>12</v>
      </c>
      <c r="BN4" s="550" t="s">
        <v>76</v>
      </c>
    </row>
    <row r="5" spans="1:66" x14ac:dyDescent="0.15">
      <c r="A5" s="300"/>
      <c r="B5" s="301" t="s">
        <v>399</v>
      </c>
      <c r="C5" s="302">
        <v>30</v>
      </c>
      <c r="D5" s="303" t="e">
        <v>#DIV/0!</v>
      </c>
      <c r="E5" s="302">
        <v>80.625</v>
      </c>
      <c r="F5" s="303" t="e">
        <v>#DIV/0!</v>
      </c>
      <c r="G5" s="302">
        <v>131.9</v>
      </c>
      <c r="H5" s="303" t="s">
        <v>402</v>
      </c>
      <c r="I5" s="302">
        <v>171.57142857142858</v>
      </c>
      <c r="J5" s="303" t="e">
        <v>#DIV/0!</v>
      </c>
      <c r="K5" s="302">
        <v>283.52941176470586</v>
      </c>
      <c r="L5" s="303" t="s">
        <v>402</v>
      </c>
      <c r="M5" s="302">
        <v>23</v>
      </c>
      <c r="N5" s="303" t="e">
        <v>#DIV/0!</v>
      </c>
      <c r="O5" s="302">
        <v>84.5</v>
      </c>
      <c r="P5" s="303" t="s">
        <v>402</v>
      </c>
      <c r="Q5" s="302">
        <v>130.90909090909091</v>
      </c>
      <c r="R5" s="303" t="s">
        <v>402</v>
      </c>
      <c r="S5" s="302">
        <v>177.76470588235293</v>
      </c>
      <c r="T5" s="303" t="s">
        <v>402</v>
      </c>
      <c r="U5" s="302">
        <v>250.64285714285714</v>
      </c>
      <c r="V5" s="303" t="s">
        <v>402</v>
      </c>
      <c r="W5" s="302">
        <v>35</v>
      </c>
      <c r="X5" s="303" t="e">
        <v>#DIV/0!</v>
      </c>
      <c r="Y5" s="302">
        <v>75</v>
      </c>
      <c r="Z5" s="303" t="s">
        <v>402</v>
      </c>
      <c r="AA5" s="302">
        <v>107.66666666666667</v>
      </c>
      <c r="AB5" s="303" t="s">
        <v>402</v>
      </c>
      <c r="AC5" s="302">
        <v>180.875</v>
      </c>
      <c r="AD5" s="303" t="s">
        <v>402</v>
      </c>
      <c r="AE5" s="302">
        <v>709.5</v>
      </c>
      <c r="AF5" s="303" t="s">
        <v>402</v>
      </c>
      <c r="AG5" s="302" t="e">
        <v>#DIV/0!</v>
      </c>
      <c r="AH5" s="303" t="e">
        <v>#DIV/0!</v>
      </c>
      <c r="AI5" s="302">
        <v>75.466666666666669</v>
      </c>
      <c r="AJ5" s="303" t="s">
        <v>402</v>
      </c>
      <c r="AK5" s="302">
        <v>124.18181818181819</v>
      </c>
      <c r="AL5" s="303" t="s">
        <v>402</v>
      </c>
      <c r="AM5" s="302">
        <v>173.66666666666666</v>
      </c>
      <c r="AN5" s="303" t="s">
        <v>402</v>
      </c>
      <c r="AO5" s="302">
        <v>282</v>
      </c>
      <c r="AP5" s="303" t="s">
        <v>402</v>
      </c>
      <c r="AQ5" s="302">
        <v>282</v>
      </c>
      <c r="AR5" s="303" t="s">
        <v>402</v>
      </c>
      <c r="AS5" s="302">
        <v>70.58620689655173</v>
      </c>
      <c r="AT5" s="303" t="s">
        <v>402</v>
      </c>
      <c r="AU5" s="302">
        <v>125.25</v>
      </c>
      <c r="AV5" s="303" t="s">
        <v>402</v>
      </c>
      <c r="AW5" s="302">
        <v>170.84615384615384</v>
      </c>
      <c r="AX5" s="303" t="s">
        <v>402</v>
      </c>
      <c r="AY5" s="302">
        <v>210.5</v>
      </c>
      <c r="AZ5" s="303" t="s">
        <v>402</v>
      </c>
      <c r="BA5" s="302">
        <v>37.4</v>
      </c>
      <c r="BB5" s="303" t="s">
        <v>402</v>
      </c>
      <c r="BC5" s="302">
        <v>73.461538461538467</v>
      </c>
      <c r="BD5" s="303" t="s">
        <v>402</v>
      </c>
      <c r="BE5" s="302">
        <v>117.88888888888889</v>
      </c>
      <c r="BF5" s="303" t="s">
        <v>402</v>
      </c>
      <c r="BG5" s="302">
        <v>179.8</v>
      </c>
      <c r="BH5" s="303" t="s">
        <v>402</v>
      </c>
      <c r="BI5" s="302">
        <v>210.5</v>
      </c>
      <c r="BJ5" s="303" t="e">
        <v>#DIV/0!</v>
      </c>
      <c r="BM5" s="549">
        <v>13</v>
      </c>
      <c r="BN5" s="550" t="s">
        <v>77</v>
      </c>
    </row>
    <row r="6" spans="1:66" x14ac:dyDescent="0.15">
      <c r="A6" s="304"/>
      <c r="B6" s="305" t="s">
        <v>44</v>
      </c>
      <c r="C6" s="306">
        <v>0</v>
      </c>
      <c r="D6" s="307">
        <v>0</v>
      </c>
      <c r="E6" s="306">
        <v>0</v>
      </c>
      <c r="F6" s="307">
        <v>0</v>
      </c>
      <c r="G6" s="306">
        <v>0</v>
      </c>
      <c r="H6" s="307">
        <v>0</v>
      </c>
      <c r="I6" s="306">
        <v>0</v>
      </c>
      <c r="J6" s="307">
        <v>0</v>
      </c>
      <c r="K6" s="306">
        <v>0</v>
      </c>
      <c r="L6" s="307">
        <v>0</v>
      </c>
      <c r="M6" s="306">
        <v>0</v>
      </c>
      <c r="N6" s="307">
        <v>0</v>
      </c>
      <c r="O6" s="306">
        <v>0</v>
      </c>
      <c r="P6" s="307">
        <v>0</v>
      </c>
      <c r="Q6" s="306">
        <v>0</v>
      </c>
      <c r="R6" s="307">
        <v>0</v>
      </c>
      <c r="S6" s="306">
        <v>0</v>
      </c>
      <c r="T6" s="307">
        <v>0</v>
      </c>
      <c r="U6" s="306">
        <v>0</v>
      </c>
      <c r="V6" s="307">
        <v>0</v>
      </c>
      <c r="W6" s="306">
        <v>0</v>
      </c>
      <c r="X6" s="307">
        <v>0</v>
      </c>
      <c r="Y6" s="306">
        <v>0</v>
      </c>
      <c r="Z6" s="307">
        <v>0</v>
      </c>
      <c r="AA6" s="306">
        <v>0</v>
      </c>
      <c r="AB6" s="307">
        <v>0</v>
      </c>
      <c r="AC6" s="306">
        <v>0</v>
      </c>
      <c r="AD6" s="307">
        <v>0</v>
      </c>
      <c r="AE6" s="306">
        <v>0</v>
      </c>
      <c r="AF6" s="307">
        <v>0</v>
      </c>
      <c r="AG6" s="306">
        <v>0</v>
      </c>
      <c r="AH6" s="307" t="e">
        <v>#DIV/0!</v>
      </c>
      <c r="AI6" s="306">
        <v>0</v>
      </c>
      <c r="AJ6" s="307">
        <v>0</v>
      </c>
      <c r="AK6" s="306">
        <v>0</v>
      </c>
      <c r="AL6" s="307">
        <v>0</v>
      </c>
      <c r="AM6" s="306">
        <v>0</v>
      </c>
      <c r="AN6" s="307">
        <v>0</v>
      </c>
      <c r="AO6" s="306">
        <v>0</v>
      </c>
      <c r="AP6" s="307">
        <v>0</v>
      </c>
      <c r="AQ6" s="306">
        <v>0</v>
      </c>
      <c r="AR6" s="307">
        <v>0</v>
      </c>
      <c r="AS6" s="306">
        <v>0</v>
      </c>
      <c r="AT6" s="307">
        <v>0</v>
      </c>
      <c r="AU6" s="306">
        <v>0</v>
      </c>
      <c r="AV6" s="307">
        <v>0</v>
      </c>
      <c r="AW6" s="306">
        <v>0</v>
      </c>
      <c r="AX6" s="307">
        <v>0</v>
      </c>
      <c r="AY6" s="306">
        <v>0</v>
      </c>
      <c r="AZ6" s="307">
        <v>0</v>
      </c>
      <c r="BA6" s="306">
        <v>0</v>
      </c>
      <c r="BB6" s="307">
        <v>0</v>
      </c>
      <c r="BC6" s="306">
        <v>0</v>
      </c>
      <c r="BD6" s="307">
        <v>0</v>
      </c>
      <c r="BE6" s="306">
        <v>0</v>
      </c>
      <c r="BF6" s="307">
        <v>0</v>
      </c>
      <c r="BG6" s="306">
        <v>0</v>
      </c>
      <c r="BH6" s="307">
        <v>0</v>
      </c>
      <c r="BI6" s="306">
        <v>0</v>
      </c>
      <c r="BJ6" s="307">
        <v>0</v>
      </c>
      <c r="BM6" s="549">
        <v>14</v>
      </c>
      <c r="BN6" s="550" t="s">
        <v>78</v>
      </c>
    </row>
    <row r="7" spans="1:66" x14ac:dyDescent="0.15">
      <c r="A7" s="296" t="s">
        <v>43</v>
      </c>
      <c r="B7" s="308"/>
      <c r="C7" s="309" t="s">
        <v>42</v>
      </c>
      <c r="D7" s="310" t="s">
        <v>41</v>
      </c>
      <c r="E7" s="309" t="s">
        <v>42</v>
      </c>
      <c r="F7" s="310" t="s">
        <v>41</v>
      </c>
      <c r="G7" s="309" t="s">
        <v>42</v>
      </c>
      <c r="H7" s="310" t="s">
        <v>41</v>
      </c>
      <c r="I7" s="309" t="s">
        <v>42</v>
      </c>
      <c r="J7" s="310" t="s">
        <v>41</v>
      </c>
      <c r="K7" s="309" t="s">
        <v>42</v>
      </c>
      <c r="L7" s="310" t="s">
        <v>41</v>
      </c>
      <c r="M7" s="309" t="s">
        <v>42</v>
      </c>
      <c r="N7" s="310" t="s">
        <v>41</v>
      </c>
      <c r="O7" s="309" t="s">
        <v>42</v>
      </c>
      <c r="P7" s="310" t="s">
        <v>41</v>
      </c>
      <c r="Q7" s="309" t="s">
        <v>42</v>
      </c>
      <c r="R7" s="310" t="s">
        <v>41</v>
      </c>
      <c r="S7" s="309" t="s">
        <v>42</v>
      </c>
      <c r="T7" s="310" t="s">
        <v>41</v>
      </c>
      <c r="U7" s="309" t="s">
        <v>42</v>
      </c>
      <c r="V7" s="310" t="s">
        <v>41</v>
      </c>
      <c r="W7" s="309" t="s">
        <v>42</v>
      </c>
      <c r="X7" s="310" t="s">
        <v>41</v>
      </c>
      <c r="Y7" s="309" t="s">
        <v>42</v>
      </c>
      <c r="Z7" s="310" t="s">
        <v>41</v>
      </c>
      <c r="AA7" s="309" t="s">
        <v>42</v>
      </c>
      <c r="AB7" s="310" t="s">
        <v>41</v>
      </c>
      <c r="AC7" s="309" t="s">
        <v>42</v>
      </c>
      <c r="AD7" s="310" t="s">
        <v>41</v>
      </c>
      <c r="AE7" s="309" t="s">
        <v>42</v>
      </c>
      <c r="AF7" s="310" t="s">
        <v>41</v>
      </c>
      <c r="AG7" s="309" t="s">
        <v>42</v>
      </c>
      <c r="AH7" s="310" t="s">
        <v>41</v>
      </c>
      <c r="AI7" s="309" t="s">
        <v>42</v>
      </c>
      <c r="AJ7" s="310" t="s">
        <v>41</v>
      </c>
      <c r="AK7" s="309" t="s">
        <v>42</v>
      </c>
      <c r="AL7" s="310" t="s">
        <v>41</v>
      </c>
      <c r="AM7" s="309" t="s">
        <v>42</v>
      </c>
      <c r="AN7" s="310" t="s">
        <v>41</v>
      </c>
      <c r="AO7" s="309" t="s">
        <v>42</v>
      </c>
      <c r="AP7" s="310" t="s">
        <v>41</v>
      </c>
      <c r="AQ7" s="309" t="s">
        <v>42</v>
      </c>
      <c r="AR7" s="310" t="s">
        <v>41</v>
      </c>
      <c r="AS7" s="309" t="s">
        <v>42</v>
      </c>
      <c r="AT7" s="310" t="s">
        <v>41</v>
      </c>
      <c r="AU7" s="309" t="s">
        <v>42</v>
      </c>
      <c r="AV7" s="310" t="s">
        <v>41</v>
      </c>
      <c r="AW7" s="309" t="s">
        <v>42</v>
      </c>
      <c r="AX7" s="310" t="s">
        <v>41</v>
      </c>
      <c r="AY7" s="309" t="s">
        <v>42</v>
      </c>
      <c r="AZ7" s="310" t="s">
        <v>41</v>
      </c>
      <c r="BA7" s="309" t="s">
        <v>42</v>
      </c>
      <c r="BB7" s="310" t="s">
        <v>41</v>
      </c>
      <c r="BC7" s="309" t="s">
        <v>42</v>
      </c>
      <c r="BD7" s="310" t="s">
        <v>41</v>
      </c>
      <c r="BE7" s="309" t="s">
        <v>42</v>
      </c>
      <c r="BF7" s="310" t="s">
        <v>41</v>
      </c>
      <c r="BG7" s="309" t="s">
        <v>42</v>
      </c>
      <c r="BH7" s="310" t="s">
        <v>41</v>
      </c>
      <c r="BI7" s="309" t="s">
        <v>42</v>
      </c>
      <c r="BJ7" s="310" t="s">
        <v>41</v>
      </c>
      <c r="BM7" s="549">
        <v>15</v>
      </c>
      <c r="BN7" s="550" t="s">
        <v>79</v>
      </c>
    </row>
    <row r="8" spans="1:66" x14ac:dyDescent="0.15">
      <c r="A8" s="296">
        <v>1</v>
      </c>
      <c r="B8" s="311" t="s">
        <v>40</v>
      </c>
      <c r="C8" s="298">
        <v>1802315</v>
      </c>
      <c r="D8" s="312">
        <v>60077.166666666664</v>
      </c>
      <c r="E8" s="298">
        <v>29617896</v>
      </c>
      <c r="F8" s="312">
        <v>45919.218604651163</v>
      </c>
      <c r="G8" s="298">
        <v>57377476</v>
      </c>
      <c r="H8" s="312">
        <v>43500.739954510995</v>
      </c>
      <c r="I8" s="298">
        <v>101601985</v>
      </c>
      <c r="J8" s="312">
        <v>42298.911323896755</v>
      </c>
      <c r="K8" s="298">
        <v>198722933</v>
      </c>
      <c r="L8" s="312">
        <v>41228.824273858918</v>
      </c>
      <c r="M8" s="298">
        <v>1026788</v>
      </c>
      <c r="N8" s="312">
        <v>44642.956521739128</v>
      </c>
      <c r="O8" s="298">
        <v>29707275</v>
      </c>
      <c r="P8" s="312">
        <v>43945.673076923078</v>
      </c>
      <c r="Q8" s="298">
        <v>61137866</v>
      </c>
      <c r="R8" s="312">
        <v>42456.851388888892</v>
      </c>
      <c r="S8" s="298">
        <v>126583579</v>
      </c>
      <c r="T8" s="312">
        <v>41887.352415618792</v>
      </c>
      <c r="U8" s="298">
        <v>143397826</v>
      </c>
      <c r="V8" s="312">
        <v>40865.724137931036</v>
      </c>
      <c r="W8" s="298">
        <v>1732477</v>
      </c>
      <c r="X8" s="312">
        <v>49499.342857142859</v>
      </c>
      <c r="Y8" s="298">
        <v>43185718</v>
      </c>
      <c r="Z8" s="312">
        <v>44293.044102564105</v>
      </c>
      <c r="AA8" s="298">
        <v>13905914</v>
      </c>
      <c r="AB8" s="312">
        <v>43052.3653250774</v>
      </c>
      <c r="AC8" s="298">
        <v>60951437</v>
      </c>
      <c r="AD8" s="312">
        <v>42122.624049758124</v>
      </c>
      <c r="AE8" s="298">
        <v>137059607</v>
      </c>
      <c r="AF8" s="312">
        <v>16098.145055203195</v>
      </c>
      <c r="AG8" s="298">
        <v>0</v>
      </c>
      <c r="AH8" s="312" t="e">
        <v>#DIV/0!</v>
      </c>
      <c r="AI8" s="298">
        <v>50684127</v>
      </c>
      <c r="AJ8" s="312">
        <v>44773.963780918726</v>
      </c>
      <c r="AK8" s="298">
        <v>58562627</v>
      </c>
      <c r="AL8" s="312">
        <v>42871.615666178623</v>
      </c>
      <c r="AM8" s="298">
        <v>65306379</v>
      </c>
      <c r="AN8" s="312">
        <v>41782.712092130518</v>
      </c>
      <c r="AO8" s="298">
        <v>45769059</v>
      </c>
      <c r="AP8" s="312">
        <v>40575.406914893618</v>
      </c>
      <c r="AQ8" s="298">
        <v>45769059</v>
      </c>
      <c r="AR8" s="312">
        <v>40575.406914893618</v>
      </c>
      <c r="AS8" s="298">
        <v>91507545</v>
      </c>
      <c r="AT8" s="312">
        <v>44703.246213971666</v>
      </c>
      <c r="AU8" s="298">
        <v>64322290</v>
      </c>
      <c r="AV8" s="312">
        <v>42795.934797072521</v>
      </c>
      <c r="AW8" s="298">
        <v>94533918</v>
      </c>
      <c r="AX8" s="312">
        <v>42563.673120216117</v>
      </c>
      <c r="AY8" s="298">
        <v>17624197</v>
      </c>
      <c r="AZ8" s="312">
        <v>41862.700712589074</v>
      </c>
      <c r="BA8" s="298">
        <v>14961872</v>
      </c>
      <c r="BB8" s="312">
        <v>40005.005347593586</v>
      </c>
      <c r="BC8" s="298">
        <v>84247799</v>
      </c>
      <c r="BD8" s="312">
        <v>44108.795287958113</v>
      </c>
      <c r="BE8" s="298">
        <v>45926191</v>
      </c>
      <c r="BF8" s="312">
        <v>43285.759660697455</v>
      </c>
      <c r="BG8" s="298">
        <v>38236716</v>
      </c>
      <c r="BH8" s="312">
        <v>42532.498331479423</v>
      </c>
      <c r="BI8" s="298">
        <v>17624197</v>
      </c>
      <c r="BJ8" s="312">
        <v>41862.700712589074</v>
      </c>
      <c r="BM8" s="549">
        <v>21</v>
      </c>
      <c r="BN8" s="550" t="s">
        <v>80</v>
      </c>
    </row>
    <row r="9" spans="1:66" x14ac:dyDescent="0.15">
      <c r="A9" s="296">
        <v>2</v>
      </c>
      <c r="B9" s="311" t="s">
        <v>39</v>
      </c>
      <c r="C9" s="298">
        <v>0</v>
      </c>
      <c r="D9" s="312">
        <v>0</v>
      </c>
      <c r="E9" s="298">
        <v>6358537</v>
      </c>
      <c r="F9" s="312">
        <v>9858.1968992248057</v>
      </c>
      <c r="G9" s="298">
        <v>11455645</v>
      </c>
      <c r="H9" s="312">
        <v>8685.0985595147831</v>
      </c>
      <c r="I9" s="298">
        <v>14851431</v>
      </c>
      <c r="J9" s="312">
        <v>6182.9437968359698</v>
      </c>
      <c r="K9" s="298">
        <v>24473343</v>
      </c>
      <c r="L9" s="312">
        <v>5077.4570539419083</v>
      </c>
      <c r="M9" s="298">
        <v>370249</v>
      </c>
      <c r="N9" s="312">
        <v>16097.782608695652</v>
      </c>
      <c r="O9" s="298">
        <v>4799002</v>
      </c>
      <c r="P9" s="312">
        <v>7099.1153846153848</v>
      </c>
      <c r="Q9" s="298">
        <v>10177473</v>
      </c>
      <c r="R9" s="312">
        <v>7067.6895833333338</v>
      </c>
      <c r="S9" s="298">
        <v>20264410</v>
      </c>
      <c r="T9" s="312">
        <v>6705.6287227001985</v>
      </c>
      <c r="U9" s="298">
        <v>21642742</v>
      </c>
      <c r="V9" s="312">
        <v>6167.780564263323</v>
      </c>
      <c r="W9" s="298">
        <v>427514</v>
      </c>
      <c r="X9" s="312">
        <v>12214.685714285713</v>
      </c>
      <c r="Y9" s="298">
        <v>9408222</v>
      </c>
      <c r="Z9" s="312">
        <v>9649.4584615384611</v>
      </c>
      <c r="AA9" s="298">
        <v>2196593</v>
      </c>
      <c r="AB9" s="312">
        <v>6800.5975232198143</v>
      </c>
      <c r="AC9" s="298">
        <v>9692102</v>
      </c>
      <c r="AD9" s="312">
        <v>6698.0663441603319</v>
      </c>
      <c r="AE9" s="298">
        <v>19712666</v>
      </c>
      <c r="AF9" s="312">
        <v>2315.3237021376558</v>
      </c>
      <c r="AG9" s="298">
        <v>0</v>
      </c>
      <c r="AH9" s="312" t="e">
        <v>#DIV/0!</v>
      </c>
      <c r="AI9" s="298">
        <v>10257830</v>
      </c>
      <c r="AJ9" s="312">
        <v>9061.6872791519436</v>
      </c>
      <c r="AK9" s="298">
        <v>10142777</v>
      </c>
      <c r="AL9" s="312">
        <v>7425.1661786237191</v>
      </c>
      <c r="AM9" s="298">
        <v>9817422</v>
      </c>
      <c r="AN9" s="312">
        <v>6281.140115163148</v>
      </c>
      <c r="AO9" s="298">
        <v>7423662</v>
      </c>
      <c r="AP9" s="312">
        <v>6581.260638297872</v>
      </c>
      <c r="AQ9" s="298">
        <v>7423662</v>
      </c>
      <c r="AR9" s="312">
        <v>6581.260638297872</v>
      </c>
      <c r="AS9" s="298">
        <v>15901812</v>
      </c>
      <c r="AT9" s="312">
        <v>7768.3497801660969</v>
      </c>
      <c r="AU9" s="298">
        <v>13605649</v>
      </c>
      <c r="AV9" s="312">
        <v>9052.3280106453767</v>
      </c>
      <c r="AW9" s="298">
        <v>15251043</v>
      </c>
      <c r="AX9" s="312">
        <v>6866.7460603331829</v>
      </c>
      <c r="AY9" s="298">
        <v>2327510</v>
      </c>
      <c r="AZ9" s="312">
        <v>5528.527315914489</v>
      </c>
      <c r="BA9" s="298">
        <v>3348239</v>
      </c>
      <c r="BB9" s="312">
        <v>8952.5106951871658</v>
      </c>
      <c r="BC9" s="298">
        <v>16102531</v>
      </c>
      <c r="BD9" s="312">
        <v>8430.6445026178008</v>
      </c>
      <c r="BE9" s="298">
        <v>6617663</v>
      </c>
      <c r="BF9" s="312">
        <v>6237.194156456173</v>
      </c>
      <c r="BG9" s="298">
        <v>4281036</v>
      </c>
      <c r="BH9" s="312">
        <v>4761.9977753058956</v>
      </c>
      <c r="BI9" s="298">
        <v>2327510</v>
      </c>
      <c r="BJ9" s="312">
        <v>5528.527315914489</v>
      </c>
      <c r="BM9" s="549">
        <v>22</v>
      </c>
      <c r="BN9" s="551" t="s">
        <v>81</v>
      </c>
    </row>
    <row r="10" spans="1:66" x14ac:dyDescent="0.15">
      <c r="A10" s="296">
        <v>3</v>
      </c>
      <c r="B10" s="311" t="s">
        <v>403</v>
      </c>
      <c r="C10" s="298">
        <v>312036</v>
      </c>
      <c r="D10" s="312">
        <v>10401.200000000001</v>
      </c>
      <c r="E10" s="298">
        <v>10084584</v>
      </c>
      <c r="F10" s="312">
        <v>15635.013953488373</v>
      </c>
      <c r="G10" s="298">
        <v>23918613</v>
      </c>
      <c r="H10" s="312">
        <v>18133.899166034877</v>
      </c>
      <c r="I10" s="298">
        <v>39526457</v>
      </c>
      <c r="J10" s="312">
        <v>16455.644046627811</v>
      </c>
      <c r="K10" s="298">
        <v>71089180</v>
      </c>
      <c r="L10" s="312">
        <v>14748.792531120333</v>
      </c>
      <c r="M10" s="298">
        <v>266283</v>
      </c>
      <c r="N10" s="312">
        <v>11577.521739130434</v>
      </c>
      <c r="O10" s="298">
        <v>9355787</v>
      </c>
      <c r="P10" s="312">
        <v>13839.921597633136</v>
      </c>
      <c r="Q10" s="298">
        <v>20828474</v>
      </c>
      <c r="R10" s="312">
        <v>14464.218055555555</v>
      </c>
      <c r="S10" s="298">
        <v>42463520</v>
      </c>
      <c r="T10" s="312">
        <v>14051.462607544672</v>
      </c>
      <c r="U10" s="298">
        <v>53907234</v>
      </c>
      <c r="V10" s="312">
        <v>15362.56312339698</v>
      </c>
      <c r="W10" s="298">
        <v>423729</v>
      </c>
      <c r="X10" s="312">
        <v>12106.542857142857</v>
      </c>
      <c r="Y10" s="298">
        <v>11342588</v>
      </c>
      <c r="Z10" s="312">
        <v>11633.42358974359</v>
      </c>
      <c r="AA10" s="298">
        <v>5060637</v>
      </c>
      <c r="AB10" s="312">
        <v>15667.606811145512</v>
      </c>
      <c r="AC10" s="298">
        <v>18563644</v>
      </c>
      <c r="AD10" s="312">
        <v>12829.05597788528</v>
      </c>
      <c r="AE10" s="298">
        <v>45622753</v>
      </c>
      <c r="AF10" s="312">
        <v>5358.5568475452201</v>
      </c>
      <c r="AG10" s="298">
        <v>0</v>
      </c>
      <c r="AH10" s="312" t="e">
        <v>#DIV/0!</v>
      </c>
      <c r="AI10" s="298">
        <v>11244819</v>
      </c>
      <c r="AJ10" s="312">
        <v>9933.5856890459363</v>
      </c>
      <c r="AK10" s="298">
        <v>18323704</v>
      </c>
      <c r="AL10" s="312">
        <v>13414.131771595901</v>
      </c>
      <c r="AM10" s="298">
        <v>18955465</v>
      </c>
      <c r="AN10" s="312">
        <v>12127.616762635957</v>
      </c>
      <c r="AO10" s="298">
        <v>17106747</v>
      </c>
      <c r="AP10" s="312">
        <v>15165.555851063829</v>
      </c>
      <c r="AQ10" s="298">
        <v>17106747</v>
      </c>
      <c r="AR10" s="312">
        <v>15165.555851063829</v>
      </c>
      <c r="AS10" s="298">
        <v>29512268</v>
      </c>
      <c r="AT10" s="312">
        <v>14417.326819736199</v>
      </c>
      <c r="AU10" s="298">
        <v>22290035</v>
      </c>
      <c r="AV10" s="312">
        <v>14830.362608117099</v>
      </c>
      <c r="AW10" s="298">
        <v>29083495</v>
      </c>
      <c r="AX10" s="312">
        <v>13094.7748761819</v>
      </c>
      <c r="AY10" s="298">
        <v>5780761</v>
      </c>
      <c r="AZ10" s="312">
        <v>13731.02375296912</v>
      </c>
      <c r="BA10" s="298">
        <v>5025214</v>
      </c>
      <c r="BB10" s="312">
        <v>13436.401069518717</v>
      </c>
      <c r="BC10" s="298">
        <v>23612116</v>
      </c>
      <c r="BD10" s="312">
        <v>12362.36439790576</v>
      </c>
      <c r="BE10" s="298">
        <v>13587594</v>
      </c>
      <c r="BF10" s="312">
        <v>12806.403393025448</v>
      </c>
      <c r="BG10" s="298">
        <v>12431501</v>
      </c>
      <c r="BH10" s="312">
        <v>13828.143492769745</v>
      </c>
      <c r="BI10" s="298">
        <v>5780761</v>
      </c>
      <c r="BJ10" s="312">
        <v>13731.02375296912</v>
      </c>
      <c r="BM10" s="549">
        <v>23</v>
      </c>
      <c r="BN10" s="550" t="s">
        <v>82</v>
      </c>
    </row>
    <row r="11" spans="1:66" x14ac:dyDescent="0.15">
      <c r="A11" s="296">
        <v>4</v>
      </c>
      <c r="B11" s="311" t="s">
        <v>38</v>
      </c>
      <c r="C11" s="298">
        <v>71100</v>
      </c>
      <c r="D11" s="312">
        <v>2370</v>
      </c>
      <c r="E11" s="298">
        <v>2294573</v>
      </c>
      <c r="F11" s="312">
        <v>3557.477519379845</v>
      </c>
      <c r="G11" s="298">
        <v>4547842</v>
      </c>
      <c r="H11" s="312">
        <v>3447.9469294920395</v>
      </c>
      <c r="I11" s="298">
        <v>7374271</v>
      </c>
      <c r="J11" s="312">
        <v>3070.0545378850957</v>
      </c>
      <c r="K11" s="298">
        <v>13905478</v>
      </c>
      <c r="L11" s="312">
        <v>2884.9539419087137</v>
      </c>
      <c r="M11" s="298">
        <v>72150</v>
      </c>
      <c r="N11" s="312">
        <v>3136.9565217391305</v>
      </c>
      <c r="O11" s="298">
        <v>2440129</v>
      </c>
      <c r="P11" s="312">
        <v>3609.6582840236688</v>
      </c>
      <c r="Q11" s="298">
        <v>4240673</v>
      </c>
      <c r="R11" s="312">
        <v>2944.9118055555555</v>
      </c>
      <c r="S11" s="298">
        <v>11986717</v>
      </c>
      <c r="T11" s="312">
        <v>3966.4847782925217</v>
      </c>
      <c r="U11" s="298">
        <v>12940852</v>
      </c>
      <c r="V11" s="312">
        <v>3687.9031062980907</v>
      </c>
      <c r="W11" s="298">
        <v>24709</v>
      </c>
      <c r="X11" s="312">
        <v>705.97142857142853</v>
      </c>
      <c r="Y11" s="298">
        <v>3335959</v>
      </c>
      <c r="Z11" s="312">
        <v>3421.4964102564104</v>
      </c>
      <c r="AA11" s="298">
        <v>1361549</v>
      </c>
      <c r="AB11" s="312">
        <v>4215.3219814241484</v>
      </c>
      <c r="AC11" s="298">
        <v>5518631</v>
      </c>
      <c r="AD11" s="312">
        <v>3813.8431237042155</v>
      </c>
      <c r="AE11" s="298">
        <v>12966774</v>
      </c>
      <c r="AF11" s="312">
        <v>1522.9943622269204</v>
      </c>
      <c r="AG11" s="298">
        <v>0</v>
      </c>
      <c r="AH11" s="312" t="e">
        <v>#DIV/0!</v>
      </c>
      <c r="AI11" s="298">
        <v>3630926</v>
      </c>
      <c r="AJ11" s="312">
        <v>3207.5318021201415</v>
      </c>
      <c r="AK11" s="298">
        <v>4619828</v>
      </c>
      <c r="AL11" s="312">
        <v>3382.0117130307467</v>
      </c>
      <c r="AM11" s="298">
        <v>5669253</v>
      </c>
      <c r="AN11" s="312">
        <v>3627.1612284069097</v>
      </c>
      <c r="AO11" s="298">
        <v>4070967</v>
      </c>
      <c r="AP11" s="312">
        <v>3609.0132978723404</v>
      </c>
      <c r="AQ11" s="298">
        <v>4070967</v>
      </c>
      <c r="AR11" s="312">
        <v>3609.0132978723404</v>
      </c>
      <c r="AS11" s="298">
        <v>6398553</v>
      </c>
      <c r="AT11" s="312">
        <v>3125.8197361993161</v>
      </c>
      <c r="AU11" s="298">
        <v>4930317</v>
      </c>
      <c r="AV11" s="312">
        <v>3280.3173652694609</v>
      </c>
      <c r="AW11" s="298">
        <v>5665943</v>
      </c>
      <c r="AX11" s="312">
        <v>2551.0774425934264</v>
      </c>
      <c r="AY11" s="298">
        <v>1578203</v>
      </c>
      <c r="AZ11" s="312">
        <v>3748.7007125890736</v>
      </c>
      <c r="BA11" s="298">
        <v>1500718</v>
      </c>
      <c r="BB11" s="312">
        <v>4012.614973262032</v>
      </c>
      <c r="BC11" s="298">
        <v>6001509</v>
      </c>
      <c r="BD11" s="312">
        <v>3142.1513089005234</v>
      </c>
      <c r="BE11" s="298">
        <v>3169400</v>
      </c>
      <c r="BF11" s="312">
        <v>2987.1819038642789</v>
      </c>
      <c r="BG11" s="298">
        <v>2622157</v>
      </c>
      <c r="BH11" s="312">
        <v>2916.7486095661848</v>
      </c>
      <c r="BI11" s="298">
        <v>1578203</v>
      </c>
      <c r="BJ11" s="312">
        <v>3748.7007125890736</v>
      </c>
      <c r="BM11" s="549">
        <v>24</v>
      </c>
      <c r="BN11" s="550" t="s">
        <v>83</v>
      </c>
    </row>
    <row r="12" spans="1:66" x14ac:dyDescent="0.15">
      <c r="A12" s="296">
        <v>5</v>
      </c>
      <c r="B12" s="311" t="s">
        <v>250</v>
      </c>
      <c r="C12" s="298">
        <v>0</v>
      </c>
      <c r="D12" s="312">
        <v>0</v>
      </c>
      <c r="E12" s="298">
        <v>588752</v>
      </c>
      <c r="F12" s="312">
        <v>912.79379844961238</v>
      </c>
      <c r="G12" s="298">
        <v>1369950</v>
      </c>
      <c r="H12" s="312">
        <v>1038.6277482941623</v>
      </c>
      <c r="I12" s="298">
        <v>2123512</v>
      </c>
      <c r="J12" s="312">
        <v>884.05995004163196</v>
      </c>
      <c r="K12" s="298">
        <v>15724494</v>
      </c>
      <c r="L12" s="312">
        <v>3262.343153526971</v>
      </c>
      <c r="M12" s="298">
        <v>9900</v>
      </c>
      <c r="N12" s="312">
        <v>430.43478260869563</v>
      </c>
      <c r="O12" s="298">
        <v>6684927</v>
      </c>
      <c r="P12" s="312">
        <v>9888.9452662721887</v>
      </c>
      <c r="Q12" s="298">
        <v>11093797</v>
      </c>
      <c r="R12" s="312">
        <v>7704.0256944444445</v>
      </c>
      <c r="S12" s="298">
        <v>10660428</v>
      </c>
      <c r="T12" s="312">
        <v>3527.6068828590337</v>
      </c>
      <c r="U12" s="298">
        <v>7507721</v>
      </c>
      <c r="V12" s="312">
        <v>2139.5614135081219</v>
      </c>
      <c r="W12" s="298">
        <v>124073</v>
      </c>
      <c r="X12" s="312">
        <v>3544.9428571428571</v>
      </c>
      <c r="Y12" s="298">
        <v>8437301</v>
      </c>
      <c r="Z12" s="312">
        <v>8653.6420512820514</v>
      </c>
      <c r="AA12" s="298">
        <v>7468707</v>
      </c>
      <c r="AB12" s="312">
        <v>23122.931888544892</v>
      </c>
      <c r="AC12" s="298">
        <v>6402123</v>
      </c>
      <c r="AD12" s="312">
        <v>4424.4111955770559</v>
      </c>
      <c r="AE12" s="298">
        <v>9119170</v>
      </c>
      <c r="AF12" s="312">
        <v>1071.0793986375381</v>
      </c>
      <c r="AG12" s="298">
        <v>0</v>
      </c>
      <c r="AH12" s="312" t="e">
        <v>#DIV/0!</v>
      </c>
      <c r="AI12" s="298">
        <v>3659846</v>
      </c>
      <c r="AJ12" s="312">
        <v>3233.0795053003535</v>
      </c>
      <c r="AK12" s="298">
        <v>7483209</v>
      </c>
      <c r="AL12" s="312">
        <v>5478.1910688140561</v>
      </c>
      <c r="AM12" s="298">
        <v>8368982</v>
      </c>
      <c r="AN12" s="312">
        <v>5354.43506078055</v>
      </c>
      <c r="AO12" s="298">
        <v>6781953</v>
      </c>
      <c r="AP12" s="312">
        <v>6012.369680851064</v>
      </c>
      <c r="AQ12" s="298">
        <v>6781953</v>
      </c>
      <c r="AR12" s="312">
        <v>6012.369680851064</v>
      </c>
      <c r="AS12" s="298">
        <v>44008350</v>
      </c>
      <c r="AT12" s="312">
        <v>21498.949682462138</v>
      </c>
      <c r="AU12" s="298">
        <v>13810846</v>
      </c>
      <c r="AV12" s="312">
        <v>9188.8529607451765</v>
      </c>
      <c r="AW12" s="298">
        <v>11745516</v>
      </c>
      <c r="AX12" s="312">
        <v>5288.3908149482213</v>
      </c>
      <c r="AY12" s="298">
        <v>82788</v>
      </c>
      <c r="AZ12" s="312">
        <v>196.646080760095</v>
      </c>
      <c r="BA12" s="298">
        <v>10930275</v>
      </c>
      <c r="BB12" s="312">
        <v>29225.33422459893</v>
      </c>
      <c r="BC12" s="298">
        <v>33354951</v>
      </c>
      <c r="BD12" s="312">
        <v>17463.325130890051</v>
      </c>
      <c r="BE12" s="298">
        <v>8878466</v>
      </c>
      <c r="BF12" s="312">
        <v>8368.016965127239</v>
      </c>
      <c r="BG12" s="298">
        <v>9994873</v>
      </c>
      <c r="BH12" s="312">
        <v>11117.767519466073</v>
      </c>
      <c r="BI12" s="298">
        <v>82788</v>
      </c>
      <c r="BJ12" s="312">
        <v>196.646080760095</v>
      </c>
      <c r="BM12" s="549">
        <v>25</v>
      </c>
      <c r="BN12" s="550" t="s">
        <v>84</v>
      </c>
    </row>
    <row r="13" spans="1:66" x14ac:dyDescent="0.15">
      <c r="A13" s="304">
        <v>6</v>
      </c>
      <c r="B13" s="313" t="s">
        <v>404</v>
      </c>
      <c r="C13" s="306">
        <v>2185451</v>
      </c>
      <c r="D13" s="314">
        <v>72848.366666666669</v>
      </c>
      <c r="E13" s="306">
        <v>48944342</v>
      </c>
      <c r="F13" s="314">
        <v>75882.700775193793</v>
      </c>
      <c r="G13" s="306">
        <v>98669526</v>
      </c>
      <c r="H13" s="314">
        <v>74806.312357846851</v>
      </c>
      <c r="I13" s="306">
        <v>165477656</v>
      </c>
      <c r="J13" s="314">
        <v>68891.613655287263</v>
      </c>
      <c r="K13" s="306">
        <v>323915428</v>
      </c>
      <c r="L13" s="314">
        <v>67202.37095435684</v>
      </c>
      <c r="M13" s="306">
        <v>1745370</v>
      </c>
      <c r="N13" s="314">
        <v>75885.65217391304</v>
      </c>
      <c r="O13" s="306">
        <v>52987120</v>
      </c>
      <c r="P13" s="314">
        <v>78383.313609467456</v>
      </c>
      <c r="Q13" s="306">
        <v>107478283</v>
      </c>
      <c r="R13" s="314">
        <v>74637.696527777778</v>
      </c>
      <c r="S13" s="306">
        <v>211958654</v>
      </c>
      <c r="T13" s="314">
        <v>70138.535407015224</v>
      </c>
      <c r="U13" s="306">
        <v>239396375</v>
      </c>
      <c r="V13" s="314">
        <v>68223.532345397543</v>
      </c>
      <c r="W13" s="306">
        <v>2732502</v>
      </c>
      <c r="X13" s="314">
        <v>78071.485714285707</v>
      </c>
      <c r="Y13" s="306">
        <v>75709788</v>
      </c>
      <c r="Z13" s="314">
        <v>77651.064615384617</v>
      </c>
      <c r="AA13" s="306">
        <v>29993400</v>
      </c>
      <c r="AB13" s="314">
        <v>92858.823529411762</v>
      </c>
      <c r="AC13" s="306">
        <v>101127937</v>
      </c>
      <c r="AD13" s="314">
        <v>69888.000691085006</v>
      </c>
      <c r="AE13" s="306">
        <v>224480970</v>
      </c>
      <c r="AF13" s="314">
        <v>26366.099365750528</v>
      </c>
      <c r="AG13" s="306">
        <v>0</v>
      </c>
      <c r="AH13" s="314" t="e">
        <v>#DIV/0!</v>
      </c>
      <c r="AI13" s="306">
        <v>79477548</v>
      </c>
      <c r="AJ13" s="314">
        <v>70209.848056537099</v>
      </c>
      <c r="AK13" s="306">
        <v>99132145</v>
      </c>
      <c r="AL13" s="314">
        <v>72571.116398243044</v>
      </c>
      <c r="AM13" s="306">
        <v>108117501</v>
      </c>
      <c r="AN13" s="314">
        <v>69173.06525911708</v>
      </c>
      <c r="AO13" s="306">
        <v>81152388</v>
      </c>
      <c r="AP13" s="314">
        <v>71943.606382978716</v>
      </c>
      <c r="AQ13" s="306">
        <v>81152388</v>
      </c>
      <c r="AR13" s="314">
        <v>71943.606382978716</v>
      </c>
      <c r="AS13" s="306">
        <v>187328528</v>
      </c>
      <c r="AT13" s="314">
        <v>91513.692232535424</v>
      </c>
      <c r="AU13" s="306">
        <v>118959137</v>
      </c>
      <c r="AV13" s="314">
        <v>79147.795741849637</v>
      </c>
      <c r="AW13" s="306">
        <v>156279915</v>
      </c>
      <c r="AX13" s="314">
        <v>70364.662314272849</v>
      </c>
      <c r="AY13" s="306">
        <v>27393459</v>
      </c>
      <c r="AZ13" s="314">
        <v>65067.598574821852</v>
      </c>
      <c r="BA13" s="306">
        <v>35766318</v>
      </c>
      <c r="BB13" s="314">
        <v>95631.866310160432</v>
      </c>
      <c r="BC13" s="306">
        <v>163318906</v>
      </c>
      <c r="BD13" s="314">
        <v>85507.280628272245</v>
      </c>
      <c r="BE13" s="306">
        <v>78179314</v>
      </c>
      <c r="BF13" s="314">
        <v>73684.556079170594</v>
      </c>
      <c r="BG13" s="306">
        <v>67566283</v>
      </c>
      <c r="BH13" s="314">
        <v>75157.155728587313</v>
      </c>
      <c r="BI13" s="306">
        <v>27393459</v>
      </c>
      <c r="BJ13" s="314">
        <v>65067.598574821852</v>
      </c>
      <c r="BM13" s="549">
        <v>31</v>
      </c>
      <c r="BN13" s="550" t="s">
        <v>85</v>
      </c>
    </row>
    <row r="14" spans="1:66" x14ac:dyDescent="0.15">
      <c r="A14" s="296">
        <v>7</v>
      </c>
      <c r="B14" s="311" t="s">
        <v>405</v>
      </c>
      <c r="C14" s="298">
        <v>1276788</v>
      </c>
      <c r="D14" s="312">
        <v>42559.6</v>
      </c>
      <c r="E14" s="298">
        <v>29021237</v>
      </c>
      <c r="F14" s="312">
        <v>44994.165891472869</v>
      </c>
      <c r="G14" s="298">
        <v>57249020</v>
      </c>
      <c r="H14" s="312">
        <v>43403.351023502655</v>
      </c>
      <c r="I14" s="298">
        <v>93552210</v>
      </c>
      <c r="J14" s="312">
        <v>38947.631140716068</v>
      </c>
      <c r="K14" s="298">
        <v>183822893</v>
      </c>
      <c r="L14" s="312">
        <v>38137.529668049792</v>
      </c>
      <c r="M14" s="298">
        <v>1136742</v>
      </c>
      <c r="N14" s="312">
        <v>49423.565217391304</v>
      </c>
      <c r="O14" s="298">
        <v>30821936</v>
      </c>
      <c r="P14" s="312">
        <v>45594.579881656806</v>
      </c>
      <c r="Q14" s="298">
        <v>59412806</v>
      </c>
      <c r="R14" s="312">
        <v>41258.893055555556</v>
      </c>
      <c r="S14" s="298">
        <v>110397617</v>
      </c>
      <c r="T14" s="312">
        <v>36531.309397749836</v>
      </c>
      <c r="U14" s="298">
        <v>128436972</v>
      </c>
      <c r="V14" s="312">
        <v>36602.157879737817</v>
      </c>
      <c r="W14" s="298">
        <v>2343987</v>
      </c>
      <c r="X14" s="312">
        <v>66971.057142857142</v>
      </c>
      <c r="Y14" s="298">
        <v>40567866</v>
      </c>
      <c r="Z14" s="312">
        <v>41608.06769230769</v>
      </c>
      <c r="AA14" s="298">
        <v>17151224</v>
      </c>
      <c r="AB14" s="312">
        <v>53099.76470588235</v>
      </c>
      <c r="AC14" s="298">
        <v>54416328</v>
      </c>
      <c r="AD14" s="312">
        <v>37606.308223911539</v>
      </c>
      <c r="AE14" s="298">
        <v>123347720</v>
      </c>
      <c r="AF14" s="312">
        <v>14487.63448437867</v>
      </c>
      <c r="AG14" s="298">
        <v>0</v>
      </c>
      <c r="AH14" s="312" t="e">
        <v>#DIV/0!</v>
      </c>
      <c r="AI14" s="298">
        <v>47341850</v>
      </c>
      <c r="AJ14" s="312">
        <v>41821.422261484098</v>
      </c>
      <c r="AK14" s="298">
        <v>56134758</v>
      </c>
      <c r="AL14" s="312">
        <v>41094.259150805272</v>
      </c>
      <c r="AM14" s="298">
        <v>58335356</v>
      </c>
      <c r="AN14" s="312">
        <v>37322.684580934103</v>
      </c>
      <c r="AO14" s="298">
        <v>41331448</v>
      </c>
      <c r="AP14" s="312">
        <v>36641.354609929076</v>
      </c>
      <c r="AQ14" s="298">
        <v>41331448</v>
      </c>
      <c r="AR14" s="312">
        <v>36641.354609929076</v>
      </c>
      <c r="AS14" s="298">
        <v>85152256</v>
      </c>
      <c r="AT14" s="312">
        <v>41598.561797752809</v>
      </c>
      <c r="AU14" s="298">
        <v>61124585</v>
      </c>
      <c r="AV14" s="312">
        <v>40668.386560212908</v>
      </c>
      <c r="AW14" s="298">
        <v>86454923</v>
      </c>
      <c r="AX14" s="312">
        <v>38926.124718595231</v>
      </c>
      <c r="AY14" s="298">
        <v>15444042</v>
      </c>
      <c r="AZ14" s="312">
        <v>36684.185273159143</v>
      </c>
      <c r="BA14" s="298">
        <v>15356275</v>
      </c>
      <c r="BB14" s="312">
        <v>41059.558823529413</v>
      </c>
      <c r="BC14" s="298">
        <v>79095525</v>
      </c>
      <c r="BD14" s="312">
        <v>41411.269633507851</v>
      </c>
      <c r="BE14" s="298">
        <v>40528574</v>
      </c>
      <c r="BF14" s="312">
        <v>38198.467483506123</v>
      </c>
      <c r="BG14" s="298">
        <v>32874273</v>
      </c>
      <c r="BH14" s="312">
        <v>36567.600667408231</v>
      </c>
      <c r="BI14" s="298">
        <v>15444042</v>
      </c>
      <c r="BJ14" s="312">
        <v>36684.185273159143</v>
      </c>
      <c r="BM14" s="549">
        <v>32</v>
      </c>
      <c r="BN14" s="550" t="s">
        <v>86</v>
      </c>
    </row>
    <row r="15" spans="1:66" x14ac:dyDescent="0.15">
      <c r="A15" s="296">
        <v>8</v>
      </c>
      <c r="B15" s="311" t="s">
        <v>37</v>
      </c>
      <c r="C15" s="298">
        <v>364025</v>
      </c>
      <c r="D15" s="312">
        <v>12134.166666666666</v>
      </c>
      <c r="E15" s="298">
        <v>3741906</v>
      </c>
      <c r="F15" s="312">
        <v>5801.4046511627903</v>
      </c>
      <c r="G15" s="298">
        <v>7704023</v>
      </c>
      <c r="H15" s="312">
        <v>5840.8059135708872</v>
      </c>
      <c r="I15" s="298">
        <v>11208379</v>
      </c>
      <c r="J15" s="312">
        <v>4666.2693588676102</v>
      </c>
      <c r="K15" s="298">
        <v>29826103</v>
      </c>
      <c r="L15" s="312">
        <v>6187.9881742738589</v>
      </c>
      <c r="M15" s="298">
        <v>128005</v>
      </c>
      <c r="N15" s="312">
        <v>5565.434782608696</v>
      </c>
      <c r="O15" s="298">
        <v>6900057</v>
      </c>
      <c r="P15" s="312">
        <v>10207.184911242604</v>
      </c>
      <c r="Q15" s="298">
        <v>15480475</v>
      </c>
      <c r="R15" s="312">
        <v>10750.329861111111</v>
      </c>
      <c r="S15" s="298">
        <v>27750705</v>
      </c>
      <c r="T15" s="312">
        <v>9182.8937789543343</v>
      </c>
      <c r="U15" s="298">
        <v>23635375</v>
      </c>
      <c r="V15" s="312">
        <v>6735.6440581362212</v>
      </c>
      <c r="W15" s="298">
        <v>56482</v>
      </c>
      <c r="X15" s="312">
        <v>1613.7714285714285</v>
      </c>
      <c r="Y15" s="298">
        <v>10167805</v>
      </c>
      <c r="Z15" s="312">
        <v>10428.517948717948</v>
      </c>
      <c r="AA15" s="298">
        <v>4780588</v>
      </c>
      <c r="AB15" s="312">
        <v>14800.582043343653</v>
      </c>
      <c r="AC15" s="298">
        <v>12536268</v>
      </c>
      <c r="AD15" s="312">
        <v>8663.6268140981338</v>
      </c>
      <c r="AE15" s="298">
        <v>23510145</v>
      </c>
      <c r="AF15" s="312">
        <v>2761.3513037350249</v>
      </c>
      <c r="AG15" s="298">
        <v>0</v>
      </c>
      <c r="AH15" s="312" t="e">
        <v>#DIV/0!</v>
      </c>
      <c r="AI15" s="298">
        <v>6524765</v>
      </c>
      <c r="AJ15" s="312">
        <v>5763.9266784452293</v>
      </c>
      <c r="AK15" s="298">
        <v>9718791</v>
      </c>
      <c r="AL15" s="312">
        <v>7114.7811127379209</v>
      </c>
      <c r="AM15" s="298">
        <v>14603272</v>
      </c>
      <c r="AN15" s="312">
        <v>9343.1042866282787</v>
      </c>
      <c r="AO15" s="298">
        <v>11330228</v>
      </c>
      <c r="AP15" s="312">
        <v>10044.528368794327</v>
      </c>
      <c r="AQ15" s="298">
        <v>11330228</v>
      </c>
      <c r="AR15" s="312">
        <v>10044.528368794327</v>
      </c>
      <c r="AS15" s="298">
        <v>43496152</v>
      </c>
      <c r="AT15" s="312">
        <v>21248.730825598435</v>
      </c>
      <c r="AU15" s="298">
        <v>17089094</v>
      </c>
      <c r="AV15" s="312">
        <v>11369.989354624086</v>
      </c>
      <c r="AW15" s="298">
        <v>16159460</v>
      </c>
      <c r="AX15" s="312">
        <v>7275.7586672669968</v>
      </c>
      <c r="AY15" s="298">
        <v>2931573</v>
      </c>
      <c r="AZ15" s="312">
        <v>6963.3562945368167</v>
      </c>
      <c r="BA15" s="298">
        <v>10712245</v>
      </c>
      <c r="BB15" s="312">
        <v>28642.366310160429</v>
      </c>
      <c r="BC15" s="298">
        <v>37517431</v>
      </c>
      <c r="BD15" s="312">
        <v>19642.634031413614</v>
      </c>
      <c r="BE15" s="298">
        <v>12725932</v>
      </c>
      <c r="BF15" s="312">
        <v>11994.280867106503</v>
      </c>
      <c r="BG15" s="298">
        <v>13248686</v>
      </c>
      <c r="BH15" s="312">
        <v>14737.13681868743</v>
      </c>
      <c r="BI15" s="298">
        <v>2931573</v>
      </c>
      <c r="BJ15" s="312">
        <v>6963.3562945368167</v>
      </c>
      <c r="BM15" s="549">
        <v>33</v>
      </c>
      <c r="BN15" s="550" t="s">
        <v>87</v>
      </c>
    </row>
    <row r="16" spans="1:66" x14ac:dyDescent="0.15">
      <c r="A16" s="296">
        <v>9</v>
      </c>
      <c r="B16" s="311" t="s">
        <v>36</v>
      </c>
      <c r="C16" s="298">
        <v>61803</v>
      </c>
      <c r="D16" s="312">
        <v>2060.1</v>
      </c>
      <c r="E16" s="298">
        <v>3591051</v>
      </c>
      <c r="F16" s="312">
        <v>5567.5209302325584</v>
      </c>
      <c r="G16" s="298">
        <v>8012887</v>
      </c>
      <c r="H16" s="312">
        <v>6074.9711902956788</v>
      </c>
      <c r="I16" s="298">
        <v>14773842</v>
      </c>
      <c r="J16" s="312">
        <v>6150.6419650291427</v>
      </c>
      <c r="K16" s="298">
        <v>21095215</v>
      </c>
      <c r="L16" s="312">
        <v>4376.6006224066386</v>
      </c>
      <c r="M16" s="298">
        <v>285517</v>
      </c>
      <c r="N16" s="312">
        <v>12413.782608695652</v>
      </c>
      <c r="O16" s="298">
        <v>3293916</v>
      </c>
      <c r="P16" s="312">
        <v>4872.6568047337278</v>
      </c>
      <c r="Q16" s="298">
        <v>7159797</v>
      </c>
      <c r="R16" s="312">
        <v>4972.0812500000002</v>
      </c>
      <c r="S16" s="298">
        <v>17019541</v>
      </c>
      <c r="T16" s="312">
        <v>5631.8798808735937</v>
      </c>
      <c r="U16" s="298">
        <v>20458440</v>
      </c>
      <c r="V16" s="312">
        <v>5830.2764320319184</v>
      </c>
      <c r="W16" s="298">
        <v>190525</v>
      </c>
      <c r="X16" s="312">
        <v>5443.5714285714284</v>
      </c>
      <c r="Y16" s="298">
        <v>4723586</v>
      </c>
      <c r="Z16" s="312">
        <v>4844.7035897435899</v>
      </c>
      <c r="AA16" s="298">
        <v>1526448</v>
      </c>
      <c r="AB16" s="312">
        <v>4725.8452012383905</v>
      </c>
      <c r="AC16" s="298">
        <v>7180684</v>
      </c>
      <c r="AD16" s="312">
        <v>4962.463026952315</v>
      </c>
      <c r="AE16" s="298">
        <v>17712834</v>
      </c>
      <c r="AF16" s="312">
        <v>2080.4362226920366</v>
      </c>
      <c r="AG16" s="298">
        <v>0</v>
      </c>
      <c r="AH16" s="312" t="e">
        <v>#DIV/0!</v>
      </c>
      <c r="AI16" s="298">
        <v>6909881</v>
      </c>
      <c r="AJ16" s="312">
        <v>6104.1351590106005</v>
      </c>
      <c r="AK16" s="298">
        <v>9536909</v>
      </c>
      <c r="AL16" s="312">
        <v>6981.6317715959003</v>
      </c>
      <c r="AM16" s="298">
        <v>9860949</v>
      </c>
      <c r="AN16" s="312">
        <v>6308.9884836852207</v>
      </c>
      <c r="AO16" s="298">
        <v>6752742</v>
      </c>
      <c r="AP16" s="312">
        <v>5986.4734042553191</v>
      </c>
      <c r="AQ16" s="298">
        <v>6752742</v>
      </c>
      <c r="AR16" s="312">
        <v>5986.4734042553191</v>
      </c>
      <c r="AS16" s="298">
        <v>13054645</v>
      </c>
      <c r="AT16" s="312">
        <v>6377.4523693209576</v>
      </c>
      <c r="AU16" s="298">
        <v>10059603</v>
      </c>
      <c r="AV16" s="312">
        <v>6693.0159680638726</v>
      </c>
      <c r="AW16" s="298">
        <v>12138457</v>
      </c>
      <c r="AX16" s="312">
        <v>5465.3115713642501</v>
      </c>
      <c r="AY16" s="298">
        <v>2146363</v>
      </c>
      <c r="AZ16" s="312">
        <v>5098.2494061757716</v>
      </c>
      <c r="BA16" s="298">
        <v>2006281</v>
      </c>
      <c r="BB16" s="312">
        <v>5364.3877005347595</v>
      </c>
      <c r="BC16" s="298">
        <v>11358008</v>
      </c>
      <c r="BD16" s="312">
        <v>5946.601047120419</v>
      </c>
      <c r="BE16" s="298">
        <v>7588156</v>
      </c>
      <c r="BF16" s="312">
        <v>7151.8906691800184</v>
      </c>
      <c r="BG16" s="298">
        <v>5232570</v>
      </c>
      <c r="BH16" s="312">
        <v>5820.4338153503895</v>
      </c>
      <c r="BI16" s="298">
        <v>2146363</v>
      </c>
      <c r="BJ16" s="312">
        <v>5098.2494061757716</v>
      </c>
      <c r="BM16" s="549">
        <v>34</v>
      </c>
      <c r="BN16" s="550" t="s">
        <v>88</v>
      </c>
    </row>
    <row r="17" spans="1:66" x14ac:dyDescent="0.15">
      <c r="A17" s="296">
        <v>10</v>
      </c>
      <c r="B17" s="311" t="s">
        <v>406</v>
      </c>
      <c r="C17" s="298">
        <v>0</v>
      </c>
      <c r="D17" s="312">
        <v>0</v>
      </c>
      <c r="E17" s="298">
        <v>200659</v>
      </c>
      <c r="F17" s="312">
        <v>311.09922480620156</v>
      </c>
      <c r="G17" s="298">
        <v>1063912</v>
      </c>
      <c r="H17" s="312">
        <v>806.60500379075052</v>
      </c>
      <c r="I17" s="298">
        <v>715430</v>
      </c>
      <c r="J17" s="312">
        <v>297.84762697751876</v>
      </c>
      <c r="K17" s="298">
        <v>2155901</v>
      </c>
      <c r="L17" s="312">
        <v>447.2823651452282</v>
      </c>
      <c r="M17" s="298">
        <v>2467</v>
      </c>
      <c r="N17" s="312">
        <v>107.26086956521739</v>
      </c>
      <c r="O17" s="298">
        <v>406170</v>
      </c>
      <c r="P17" s="312">
        <v>600.84319526627223</v>
      </c>
      <c r="Q17" s="298">
        <v>1052551</v>
      </c>
      <c r="R17" s="312">
        <v>730.93819444444443</v>
      </c>
      <c r="S17" s="298">
        <v>1357527</v>
      </c>
      <c r="T17" s="312">
        <v>449.21475843812044</v>
      </c>
      <c r="U17" s="298">
        <v>1689564</v>
      </c>
      <c r="V17" s="312">
        <v>481.494442861214</v>
      </c>
      <c r="W17" s="298">
        <v>0</v>
      </c>
      <c r="X17" s="312">
        <v>0</v>
      </c>
      <c r="Y17" s="298">
        <v>716553</v>
      </c>
      <c r="Z17" s="312">
        <v>734.92615384615385</v>
      </c>
      <c r="AA17" s="298">
        <v>1223881</v>
      </c>
      <c r="AB17" s="312">
        <v>3789.1052631578946</v>
      </c>
      <c r="AC17" s="298">
        <v>1032033</v>
      </c>
      <c r="AD17" s="312">
        <v>713.22252937111261</v>
      </c>
      <c r="AE17" s="298">
        <v>1299621</v>
      </c>
      <c r="AF17" s="312">
        <v>152.64517265680055</v>
      </c>
      <c r="AG17" s="298">
        <v>0</v>
      </c>
      <c r="AH17" s="312" t="e">
        <v>#DIV/0!</v>
      </c>
      <c r="AI17" s="298">
        <v>277630</v>
      </c>
      <c r="AJ17" s="312">
        <v>245.25618374558303</v>
      </c>
      <c r="AK17" s="298">
        <v>511363</v>
      </c>
      <c r="AL17" s="312">
        <v>374.35065885797951</v>
      </c>
      <c r="AM17" s="298">
        <v>919429</v>
      </c>
      <c r="AN17" s="312">
        <v>588.24632117722331</v>
      </c>
      <c r="AO17" s="298">
        <v>433145</v>
      </c>
      <c r="AP17" s="312">
        <v>383.99379432624113</v>
      </c>
      <c r="AQ17" s="298">
        <v>433145</v>
      </c>
      <c r="AR17" s="312">
        <v>383.99379432624113</v>
      </c>
      <c r="AS17" s="298">
        <v>2215682</v>
      </c>
      <c r="AT17" s="312">
        <v>1082.4044943820224</v>
      </c>
      <c r="AU17" s="298">
        <v>1534317</v>
      </c>
      <c r="AV17" s="312">
        <v>1020.8363273453094</v>
      </c>
      <c r="AW17" s="298">
        <v>1897099</v>
      </c>
      <c r="AX17" s="312">
        <v>854.16434038721297</v>
      </c>
      <c r="AY17" s="298">
        <v>95492</v>
      </c>
      <c r="AZ17" s="312">
        <v>226.82185273159146</v>
      </c>
      <c r="BA17" s="298">
        <v>704344</v>
      </c>
      <c r="BB17" s="312">
        <v>1883.2727272727273</v>
      </c>
      <c r="BC17" s="298">
        <v>2436999</v>
      </c>
      <c r="BD17" s="312">
        <v>1275.9157068062827</v>
      </c>
      <c r="BE17" s="298">
        <v>536450</v>
      </c>
      <c r="BF17" s="312">
        <v>505.60791705937794</v>
      </c>
      <c r="BG17" s="298">
        <v>966860</v>
      </c>
      <c r="BH17" s="312">
        <v>1075.483870967742</v>
      </c>
      <c r="BI17" s="298">
        <v>95492</v>
      </c>
      <c r="BJ17" s="312">
        <v>226.82185273159146</v>
      </c>
      <c r="BM17" s="549">
        <v>35</v>
      </c>
      <c r="BN17" s="550" t="s">
        <v>89</v>
      </c>
    </row>
    <row r="18" spans="1:66" x14ac:dyDescent="0.15">
      <c r="A18" s="304">
        <v>11</v>
      </c>
      <c r="B18" s="313" t="s">
        <v>407</v>
      </c>
      <c r="C18" s="306">
        <v>1702616</v>
      </c>
      <c r="D18" s="314">
        <v>56753.866666666669</v>
      </c>
      <c r="E18" s="306">
        <v>36554853</v>
      </c>
      <c r="F18" s="314">
        <v>56674.190697674421</v>
      </c>
      <c r="G18" s="306">
        <v>74029842</v>
      </c>
      <c r="H18" s="314">
        <v>56125.73313115997</v>
      </c>
      <c r="I18" s="306">
        <v>120249861</v>
      </c>
      <c r="J18" s="314">
        <v>50062.390091590343</v>
      </c>
      <c r="K18" s="306">
        <v>236900112</v>
      </c>
      <c r="L18" s="314">
        <v>49149.400829875522</v>
      </c>
      <c r="M18" s="306">
        <v>1552731</v>
      </c>
      <c r="N18" s="314">
        <v>67510.043478260865</v>
      </c>
      <c r="O18" s="306">
        <v>41422079</v>
      </c>
      <c r="P18" s="314">
        <v>61275.264792899405</v>
      </c>
      <c r="Q18" s="306">
        <v>83105629</v>
      </c>
      <c r="R18" s="314">
        <v>57712.242361111108</v>
      </c>
      <c r="S18" s="306">
        <v>156525390</v>
      </c>
      <c r="T18" s="314">
        <v>51795.297816015882</v>
      </c>
      <c r="U18" s="306">
        <v>174220351</v>
      </c>
      <c r="V18" s="314">
        <v>49649.572812767168</v>
      </c>
      <c r="W18" s="306">
        <v>2590994</v>
      </c>
      <c r="X18" s="314">
        <v>74028.399999999994</v>
      </c>
      <c r="Y18" s="306">
        <v>56175810</v>
      </c>
      <c r="Z18" s="314">
        <v>57616.215384615381</v>
      </c>
      <c r="AA18" s="306">
        <v>24682141</v>
      </c>
      <c r="AB18" s="314">
        <v>76415.297213622296</v>
      </c>
      <c r="AC18" s="306">
        <v>75165313</v>
      </c>
      <c r="AD18" s="314">
        <v>51945.620594333101</v>
      </c>
      <c r="AE18" s="306">
        <v>165870320</v>
      </c>
      <c r="AF18" s="314">
        <v>19482.067183462532</v>
      </c>
      <c r="AG18" s="306">
        <v>0</v>
      </c>
      <c r="AH18" s="314" t="e">
        <v>#DIV/0!</v>
      </c>
      <c r="AI18" s="306">
        <v>61054126</v>
      </c>
      <c r="AJ18" s="314">
        <v>53934.74028268551</v>
      </c>
      <c r="AK18" s="306">
        <v>75901821</v>
      </c>
      <c r="AL18" s="314">
        <v>55565.022693997074</v>
      </c>
      <c r="AM18" s="306">
        <v>83719006</v>
      </c>
      <c r="AN18" s="314">
        <v>53563.023672424824</v>
      </c>
      <c r="AO18" s="306">
        <v>59847563</v>
      </c>
      <c r="AP18" s="314">
        <v>53056.350177304965</v>
      </c>
      <c r="AQ18" s="306">
        <v>59847563</v>
      </c>
      <c r="AR18" s="314">
        <v>53056.350177304965</v>
      </c>
      <c r="AS18" s="306">
        <v>143918735</v>
      </c>
      <c r="AT18" s="314">
        <v>70307.149487054223</v>
      </c>
      <c r="AU18" s="306">
        <v>89807599</v>
      </c>
      <c r="AV18" s="314">
        <v>59752.228210246176</v>
      </c>
      <c r="AW18" s="306">
        <v>116649939</v>
      </c>
      <c r="AX18" s="314">
        <v>52521.359297613686</v>
      </c>
      <c r="AY18" s="306">
        <v>20617470</v>
      </c>
      <c r="AZ18" s="314">
        <v>48972.612826603327</v>
      </c>
      <c r="BA18" s="306">
        <v>28779145</v>
      </c>
      <c r="BB18" s="314">
        <v>76949.585561497326</v>
      </c>
      <c r="BC18" s="306">
        <v>130407963</v>
      </c>
      <c r="BD18" s="314">
        <v>68276.420418848167</v>
      </c>
      <c r="BE18" s="306">
        <v>61379112</v>
      </c>
      <c r="BF18" s="314">
        <v>57850.246936852025</v>
      </c>
      <c r="BG18" s="306">
        <v>52322389</v>
      </c>
      <c r="BH18" s="314">
        <v>58200.65517241379</v>
      </c>
      <c r="BI18" s="306">
        <v>20617470</v>
      </c>
      <c r="BJ18" s="314">
        <v>48972.612826603327</v>
      </c>
      <c r="BM18" s="549">
        <v>41</v>
      </c>
      <c r="BN18" s="550" t="s">
        <v>444</v>
      </c>
    </row>
    <row r="19" spans="1:66" x14ac:dyDescent="0.15">
      <c r="A19" s="296">
        <v>12</v>
      </c>
      <c r="B19" s="311" t="s">
        <v>35</v>
      </c>
      <c r="C19" s="298">
        <v>0</v>
      </c>
      <c r="D19" s="312">
        <v>0</v>
      </c>
      <c r="E19" s="298">
        <v>1082302</v>
      </c>
      <c r="F19" s="312">
        <v>1677.9875968992249</v>
      </c>
      <c r="G19" s="298">
        <v>3213537</v>
      </c>
      <c r="H19" s="312">
        <v>2436.3434420015165</v>
      </c>
      <c r="I19" s="298">
        <v>5916554</v>
      </c>
      <c r="J19" s="312">
        <v>2463.1781848459618</v>
      </c>
      <c r="K19" s="298">
        <v>12020949</v>
      </c>
      <c r="L19" s="312">
        <v>2493.9728215767636</v>
      </c>
      <c r="M19" s="298">
        <v>4725</v>
      </c>
      <c r="N19" s="312">
        <v>205.43478260869566</v>
      </c>
      <c r="O19" s="298">
        <v>1136812</v>
      </c>
      <c r="P19" s="312">
        <v>1681.6745562130177</v>
      </c>
      <c r="Q19" s="298">
        <v>4992554</v>
      </c>
      <c r="R19" s="312">
        <v>3467.0513888888891</v>
      </c>
      <c r="S19" s="298">
        <v>8148783</v>
      </c>
      <c r="T19" s="312">
        <v>2696.4867637326274</v>
      </c>
      <c r="U19" s="298">
        <v>10272127</v>
      </c>
      <c r="V19" s="312">
        <v>2927.3659162154458</v>
      </c>
      <c r="W19" s="298">
        <v>178704</v>
      </c>
      <c r="X19" s="312">
        <v>5105.8285714285712</v>
      </c>
      <c r="Y19" s="298">
        <v>1518462</v>
      </c>
      <c r="Z19" s="312">
        <v>1557.396923076923</v>
      </c>
      <c r="AA19" s="298">
        <v>443644</v>
      </c>
      <c r="AB19" s="312">
        <v>1373.5108359133128</v>
      </c>
      <c r="AC19" s="298">
        <v>5028374</v>
      </c>
      <c r="AD19" s="312">
        <v>3475.0338631651694</v>
      </c>
      <c r="AE19" s="298">
        <v>8510461</v>
      </c>
      <c r="AF19" s="312">
        <v>999.58433168898284</v>
      </c>
      <c r="AG19" s="298">
        <v>0</v>
      </c>
      <c r="AH19" s="312" t="e">
        <v>#DIV/0!</v>
      </c>
      <c r="AI19" s="298">
        <v>2286699</v>
      </c>
      <c r="AJ19" s="312">
        <v>2020.0521201413428</v>
      </c>
      <c r="AK19" s="298">
        <v>2102143</v>
      </c>
      <c r="AL19" s="312">
        <v>1538.9040995607613</v>
      </c>
      <c r="AM19" s="298">
        <v>4056815</v>
      </c>
      <c r="AN19" s="312">
        <v>2595.5310300703773</v>
      </c>
      <c r="AO19" s="298">
        <v>2079474</v>
      </c>
      <c r="AP19" s="312">
        <v>1843.5053191489362</v>
      </c>
      <c r="AQ19" s="298">
        <v>2079474</v>
      </c>
      <c r="AR19" s="312">
        <v>1843.5053191489362</v>
      </c>
      <c r="AS19" s="298">
        <v>5066362</v>
      </c>
      <c r="AT19" s="312">
        <v>2475.0180752320471</v>
      </c>
      <c r="AU19" s="298">
        <v>3801411</v>
      </c>
      <c r="AV19" s="312">
        <v>2529.2155688622756</v>
      </c>
      <c r="AW19" s="298">
        <v>4745209</v>
      </c>
      <c r="AX19" s="312">
        <v>2136.5191355245383</v>
      </c>
      <c r="AY19" s="298">
        <v>852129</v>
      </c>
      <c r="AZ19" s="312">
        <v>2024.0593824228029</v>
      </c>
      <c r="BA19" s="298">
        <v>698557</v>
      </c>
      <c r="BB19" s="312">
        <v>1867.7994652406417</v>
      </c>
      <c r="BC19" s="298">
        <v>4252587</v>
      </c>
      <c r="BD19" s="312">
        <v>2226.485340314136</v>
      </c>
      <c r="BE19" s="298">
        <v>2513803</v>
      </c>
      <c r="BF19" s="312">
        <v>2369.2770970782281</v>
      </c>
      <c r="BG19" s="298">
        <v>2356066</v>
      </c>
      <c r="BH19" s="312">
        <v>2620.7630700778641</v>
      </c>
      <c r="BI19" s="298">
        <v>852129</v>
      </c>
      <c r="BJ19" s="312">
        <v>2024.0593824228029</v>
      </c>
      <c r="BM19" s="549">
        <v>42</v>
      </c>
      <c r="BN19" s="550" t="s">
        <v>444</v>
      </c>
    </row>
    <row r="20" spans="1:66" x14ac:dyDescent="0.15">
      <c r="A20" s="296">
        <v>13</v>
      </c>
      <c r="B20" s="311" t="s">
        <v>408</v>
      </c>
      <c r="C20" s="298">
        <v>610000</v>
      </c>
      <c r="D20" s="312">
        <v>20333.333333333332</v>
      </c>
      <c r="E20" s="298">
        <v>1860890</v>
      </c>
      <c r="F20" s="312">
        <v>2885.1007751937987</v>
      </c>
      <c r="G20" s="298">
        <v>5120590</v>
      </c>
      <c r="H20" s="312">
        <v>3882.1758908263837</v>
      </c>
      <c r="I20" s="298">
        <v>3346519</v>
      </c>
      <c r="J20" s="312">
        <v>1393.2218984179849</v>
      </c>
      <c r="K20" s="298">
        <v>10629769</v>
      </c>
      <c r="L20" s="312">
        <v>2205.3462655601661</v>
      </c>
      <c r="M20" s="298">
        <v>96000</v>
      </c>
      <c r="N20" s="312">
        <v>4173.913043478261</v>
      </c>
      <c r="O20" s="298">
        <v>1214876</v>
      </c>
      <c r="P20" s="312">
        <v>1797.1538461538462</v>
      </c>
      <c r="Q20" s="298">
        <v>1740863</v>
      </c>
      <c r="R20" s="312">
        <v>1208.932638888889</v>
      </c>
      <c r="S20" s="298">
        <v>3299505</v>
      </c>
      <c r="T20" s="312">
        <v>1091.8282594308405</v>
      </c>
      <c r="U20" s="298">
        <v>766454</v>
      </c>
      <c r="V20" s="312">
        <v>218.42519236249643</v>
      </c>
      <c r="W20" s="298">
        <v>7200</v>
      </c>
      <c r="X20" s="312">
        <v>205.71428571428572</v>
      </c>
      <c r="Y20" s="298">
        <v>1795387</v>
      </c>
      <c r="Z20" s="312">
        <v>1841.4225641025641</v>
      </c>
      <c r="AA20" s="298">
        <v>0</v>
      </c>
      <c r="AB20" s="312">
        <v>0</v>
      </c>
      <c r="AC20" s="298">
        <v>295551</v>
      </c>
      <c r="AD20" s="312">
        <v>204.25086385625431</v>
      </c>
      <c r="AE20" s="298">
        <v>1627452</v>
      </c>
      <c r="AF20" s="312">
        <v>191.15010570824523</v>
      </c>
      <c r="AG20" s="298">
        <v>0</v>
      </c>
      <c r="AH20" s="312" t="e">
        <v>#DIV/0!</v>
      </c>
      <c r="AI20" s="298">
        <v>923396</v>
      </c>
      <c r="AJ20" s="312">
        <v>815.72084805653708</v>
      </c>
      <c r="AK20" s="298">
        <v>902279</v>
      </c>
      <c r="AL20" s="312">
        <v>660.52635431918009</v>
      </c>
      <c r="AM20" s="298">
        <v>769281</v>
      </c>
      <c r="AN20" s="312">
        <v>492.18234165067179</v>
      </c>
      <c r="AO20" s="298">
        <v>372780</v>
      </c>
      <c r="AP20" s="312">
        <v>330.47872340425533</v>
      </c>
      <c r="AQ20" s="298">
        <v>372780</v>
      </c>
      <c r="AR20" s="312">
        <v>330.47872340425533</v>
      </c>
      <c r="AS20" s="298">
        <v>2997096</v>
      </c>
      <c r="AT20" s="312">
        <v>1464.1406936980948</v>
      </c>
      <c r="AU20" s="298">
        <v>1474372</v>
      </c>
      <c r="AV20" s="312">
        <v>980.95276114437786</v>
      </c>
      <c r="AW20" s="298">
        <v>6589345</v>
      </c>
      <c r="AX20" s="312">
        <v>2966.8370103556958</v>
      </c>
      <c r="AY20" s="298">
        <v>71992</v>
      </c>
      <c r="AZ20" s="312">
        <v>171.00237529691211</v>
      </c>
      <c r="BA20" s="298">
        <v>603169</v>
      </c>
      <c r="BB20" s="312">
        <v>1612.7513368983957</v>
      </c>
      <c r="BC20" s="298">
        <v>635691</v>
      </c>
      <c r="BD20" s="312">
        <v>332.82251308900521</v>
      </c>
      <c r="BE20" s="298">
        <v>1132802</v>
      </c>
      <c r="BF20" s="312">
        <v>1067.6738925541943</v>
      </c>
      <c r="BG20" s="298">
        <v>300412</v>
      </c>
      <c r="BH20" s="312">
        <v>334.16240266963291</v>
      </c>
      <c r="BI20" s="298">
        <v>71992</v>
      </c>
      <c r="BJ20" s="312">
        <v>171.00237529691211</v>
      </c>
      <c r="BM20" s="549">
        <v>43</v>
      </c>
      <c r="BN20" s="550" t="s">
        <v>90</v>
      </c>
    </row>
    <row r="21" spans="1:66" x14ac:dyDescent="0.15">
      <c r="A21" s="296">
        <v>14</v>
      </c>
      <c r="B21" s="311" t="s">
        <v>34</v>
      </c>
      <c r="C21" s="298">
        <v>0</v>
      </c>
      <c r="D21" s="312">
        <v>0</v>
      </c>
      <c r="E21" s="298">
        <v>343208</v>
      </c>
      <c r="F21" s="312">
        <v>532.10542635658919</v>
      </c>
      <c r="G21" s="298">
        <v>558817</v>
      </c>
      <c r="H21" s="312">
        <v>423.66717210007579</v>
      </c>
      <c r="I21" s="298">
        <v>1832728</v>
      </c>
      <c r="J21" s="312">
        <v>763.00083263946715</v>
      </c>
      <c r="K21" s="298">
        <v>3336282</v>
      </c>
      <c r="L21" s="312">
        <v>692.17468879668047</v>
      </c>
      <c r="M21" s="298">
        <v>2541</v>
      </c>
      <c r="N21" s="312">
        <v>110.47826086956522</v>
      </c>
      <c r="O21" s="298">
        <v>219200</v>
      </c>
      <c r="P21" s="312">
        <v>324.26035502958581</v>
      </c>
      <c r="Q21" s="298">
        <v>385298</v>
      </c>
      <c r="R21" s="312">
        <v>267.56805555555553</v>
      </c>
      <c r="S21" s="298">
        <v>1131999</v>
      </c>
      <c r="T21" s="312">
        <v>374.58603573792192</v>
      </c>
      <c r="U21" s="298">
        <v>1375705</v>
      </c>
      <c r="V21" s="312">
        <v>392.05044172128811</v>
      </c>
      <c r="W21" s="298">
        <v>21144</v>
      </c>
      <c r="X21" s="312">
        <v>604.11428571428576</v>
      </c>
      <c r="Y21" s="298">
        <v>521841</v>
      </c>
      <c r="Z21" s="312">
        <v>535.22153846153844</v>
      </c>
      <c r="AA21" s="298">
        <v>270292</v>
      </c>
      <c r="AB21" s="312">
        <v>836.81733746130033</v>
      </c>
      <c r="AC21" s="298">
        <v>577720</v>
      </c>
      <c r="AD21" s="312">
        <v>399.25362819626815</v>
      </c>
      <c r="AE21" s="298">
        <v>1054057</v>
      </c>
      <c r="AF21" s="312">
        <v>123.80279539581865</v>
      </c>
      <c r="AG21" s="298">
        <v>0</v>
      </c>
      <c r="AH21" s="312" t="e">
        <v>#DIV/0!</v>
      </c>
      <c r="AI21" s="298">
        <v>540682</v>
      </c>
      <c r="AJ21" s="312">
        <v>477.63427561837455</v>
      </c>
      <c r="AK21" s="298">
        <v>585878</v>
      </c>
      <c r="AL21" s="312">
        <v>428.90043923865301</v>
      </c>
      <c r="AM21" s="298">
        <v>629680</v>
      </c>
      <c r="AN21" s="312">
        <v>402.86628278950735</v>
      </c>
      <c r="AO21" s="298">
        <v>472970</v>
      </c>
      <c r="AP21" s="312">
        <v>419.29964539007091</v>
      </c>
      <c r="AQ21" s="298">
        <v>472970</v>
      </c>
      <c r="AR21" s="312">
        <v>419.29964539007091</v>
      </c>
      <c r="AS21" s="298">
        <v>1080930</v>
      </c>
      <c r="AT21" s="312">
        <v>528.05569125549584</v>
      </c>
      <c r="AU21" s="298">
        <v>922757</v>
      </c>
      <c r="AV21" s="312">
        <v>613.94344644045248</v>
      </c>
      <c r="AW21" s="298">
        <v>588185</v>
      </c>
      <c r="AX21" s="312">
        <v>264.82890589824405</v>
      </c>
      <c r="AY21" s="298">
        <v>47596</v>
      </c>
      <c r="AZ21" s="312">
        <v>113.05463182897863</v>
      </c>
      <c r="BA21" s="298">
        <v>321114</v>
      </c>
      <c r="BB21" s="312">
        <v>858.59358288770056</v>
      </c>
      <c r="BC21" s="298">
        <v>765373</v>
      </c>
      <c r="BD21" s="312">
        <v>400.71884816753925</v>
      </c>
      <c r="BE21" s="298">
        <v>333715</v>
      </c>
      <c r="BF21" s="312">
        <v>314.52874646559849</v>
      </c>
      <c r="BG21" s="298">
        <v>289443</v>
      </c>
      <c r="BH21" s="312">
        <v>321.96106785317016</v>
      </c>
      <c r="BI21" s="298">
        <v>47596</v>
      </c>
      <c r="BJ21" s="312">
        <v>113.05463182897863</v>
      </c>
      <c r="BM21" s="549">
        <v>44</v>
      </c>
      <c r="BN21" s="550" t="s">
        <v>91</v>
      </c>
    </row>
    <row r="22" spans="1:66" x14ac:dyDescent="0.15">
      <c r="A22" s="296">
        <v>15</v>
      </c>
      <c r="B22" s="311" t="s">
        <v>33</v>
      </c>
      <c r="C22" s="298">
        <v>22000</v>
      </c>
      <c r="D22" s="312">
        <v>733.33333333333337</v>
      </c>
      <c r="E22" s="298">
        <v>776828</v>
      </c>
      <c r="F22" s="312">
        <v>1204.3844961240311</v>
      </c>
      <c r="G22" s="298">
        <v>1481039</v>
      </c>
      <c r="H22" s="312">
        <v>1122.8498862774829</v>
      </c>
      <c r="I22" s="298">
        <v>3993539</v>
      </c>
      <c r="J22" s="312">
        <v>1662.5890924229809</v>
      </c>
      <c r="K22" s="298">
        <v>5413769</v>
      </c>
      <c r="L22" s="312">
        <v>1123.1885892116184</v>
      </c>
      <c r="M22" s="298">
        <v>55235</v>
      </c>
      <c r="N22" s="312">
        <v>2401.521739130435</v>
      </c>
      <c r="O22" s="298">
        <v>1382836</v>
      </c>
      <c r="P22" s="312">
        <v>2045.6153846153845</v>
      </c>
      <c r="Q22" s="298">
        <v>1568299</v>
      </c>
      <c r="R22" s="312">
        <v>1089.0965277777777</v>
      </c>
      <c r="S22" s="298">
        <v>4610834</v>
      </c>
      <c r="T22" s="312">
        <v>1525.7557908669755</v>
      </c>
      <c r="U22" s="298">
        <v>3976057</v>
      </c>
      <c r="V22" s="312">
        <v>1133.1025933314334</v>
      </c>
      <c r="W22" s="298">
        <v>25778</v>
      </c>
      <c r="X22" s="312">
        <v>736.51428571428573</v>
      </c>
      <c r="Y22" s="298">
        <v>1472659</v>
      </c>
      <c r="Z22" s="312">
        <v>1510.4194871794871</v>
      </c>
      <c r="AA22" s="298">
        <v>306945</v>
      </c>
      <c r="AB22" s="312">
        <v>950.29411764705878</v>
      </c>
      <c r="AC22" s="298">
        <v>1552945</v>
      </c>
      <c r="AD22" s="312">
        <v>1073.2170006910851</v>
      </c>
      <c r="AE22" s="298">
        <v>4028850</v>
      </c>
      <c r="AF22" s="312">
        <v>473.2029598308668</v>
      </c>
      <c r="AG22" s="298">
        <v>0</v>
      </c>
      <c r="AH22" s="312" t="e">
        <v>#DIV/0!</v>
      </c>
      <c r="AI22" s="298">
        <v>1151473</v>
      </c>
      <c r="AJ22" s="312">
        <v>1017.202296819788</v>
      </c>
      <c r="AK22" s="298">
        <v>1464686</v>
      </c>
      <c r="AL22" s="312">
        <v>1072.2445095168375</v>
      </c>
      <c r="AM22" s="298">
        <v>2180007</v>
      </c>
      <c r="AN22" s="312">
        <v>1394.7581573896352</v>
      </c>
      <c r="AO22" s="298">
        <v>1703431</v>
      </c>
      <c r="AP22" s="312">
        <v>1510.133865248227</v>
      </c>
      <c r="AQ22" s="298">
        <v>1703431</v>
      </c>
      <c r="AR22" s="312">
        <v>1510.133865248227</v>
      </c>
      <c r="AS22" s="298">
        <v>3067653</v>
      </c>
      <c r="AT22" s="312">
        <v>1498.609184171959</v>
      </c>
      <c r="AU22" s="298">
        <v>1684025</v>
      </c>
      <c r="AV22" s="312">
        <v>1120.4424484364604</v>
      </c>
      <c r="AW22" s="298">
        <v>2049792</v>
      </c>
      <c r="AX22" s="312">
        <v>922.91400270148586</v>
      </c>
      <c r="AY22" s="298">
        <v>389102</v>
      </c>
      <c r="AZ22" s="312">
        <v>924.23277909738715</v>
      </c>
      <c r="BA22" s="298">
        <v>640636</v>
      </c>
      <c r="BB22" s="312">
        <v>1712.9304812834225</v>
      </c>
      <c r="BC22" s="298">
        <v>2392854</v>
      </c>
      <c r="BD22" s="312">
        <v>1252.8031413612566</v>
      </c>
      <c r="BE22" s="298">
        <v>1322401</v>
      </c>
      <c r="BF22" s="312">
        <v>1246.3722902921772</v>
      </c>
      <c r="BG22" s="298">
        <v>875248</v>
      </c>
      <c r="BH22" s="312">
        <v>973.57953281423806</v>
      </c>
      <c r="BI22" s="298">
        <v>389102</v>
      </c>
      <c r="BJ22" s="312">
        <v>924.23277909738715</v>
      </c>
      <c r="BM22" s="549">
        <v>45</v>
      </c>
      <c r="BN22" s="550" t="s">
        <v>92</v>
      </c>
    </row>
    <row r="23" spans="1:66" x14ac:dyDescent="0.15">
      <c r="A23" s="296">
        <v>16</v>
      </c>
      <c r="B23" s="311" t="s">
        <v>32</v>
      </c>
      <c r="C23" s="298">
        <v>0</v>
      </c>
      <c r="D23" s="312">
        <v>0</v>
      </c>
      <c r="E23" s="298">
        <v>1423970</v>
      </c>
      <c r="F23" s="312">
        <v>2207.7054263565892</v>
      </c>
      <c r="G23" s="298">
        <v>3122595</v>
      </c>
      <c r="H23" s="312">
        <v>2367.3957543593633</v>
      </c>
      <c r="I23" s="298">
        <v>5954711</v>
      </c>
      <c r="J23" s="312">
        <v>2479.0636969192342</v>
      </c>
      <c r="K23" s="298">
        <v>11146305</v>
      </c>
      <c r="L23" s="312">
        <v>2312.5114107883819</v>
      </c>
      <c r="M23" s="298">
        <v>62961</v>
      </c>
      <c r="N23" s="312">
        <v>2737.4347826086955</v>
      </c>
      <c r="O23" s="298">
        <v>1849577</v>
      </c>
      <c r="P23" s="312">
        <v>2736.060650887574</v>
      </c>
      <c r="Q23" s="298">
        <v>3263355</v>
      </c>
      <c r="R23" s="312">
        <v>2266.21875</v>
      </c>
      <c r="S23" s="298">
        <v>7881906</v>
      </c>
      <c r="T23" s="312">
        <v>2608.175380542687</v>
      </c>
      <c r="U23" s="298">
        <v>8358250</v>
      </c>
      <c r="V23" s="312">
        <v>2381.9464234824736</v>
      </c>
      <c r="W23" s="298">
        <v>184111</v>
      </c>
      <c r="X23" s="312">
        <v>5260.3142857142857</v>
      </c>
      <c r="Y23" s="298">
        <v>3611973</v>
      </c>
      <c r="Z23" s="312">
        <v>3704.5876923076921</v>
      </c>
      <c r="AA23" s="298">
        <v>527191</v>
      </c>
      <c r="AB23" s="312">
        <v>1632.1702786377709</v>
      </c>
      <c r="AC23" s="298">
        <v>3049275</v>
      </c>
      <c r="AD23" s="312">
        <v>2107.3082239115411</v>
      </c>
      <c r="AE23" s="298">
        <v>8620750</v>
      </c>
      <c r="AF23" s="312">
        <v>1012.5381724218934</v>
      </c>
      <c r="AG23" s="298">
        <v>0</v>
      </c>
      <c r="AH23" s="312" t="e">
        <v>#DIV/0!</v>
      </c>
      <c r="AI23" s="298">
        <v>2617725</v>
      </c>
      <c r="AJ23" s="312">
        <v>2312.4779151943462</v>
      </c>
      <c r="AK23" s="298">
        <v>3246720</v>
      </c>
      <c r="AL23" s="312">
        <v>2376.8081991215226</v>
      </c>
      <c r="AM23" s="298">
        <v>3122760</v>
      </c>
      <c r="AN23" s="312">
        <v>1997.9270633397314</v>
      </c>
      <c r="AO23" s="298">
        <v>2314230</v>
      </c>
      <c r="AP23" s="312">
        <v>2051.622340425532</v>
      </c>
      <c r="AQ23" s="298">
        <v>2314230</v>
      </c>
      <c r="AR23" s="312">
        <v>2051.622340425532</v>
      </c>
      <c r="AS23" s="298">
        <v>6620622</v>
      </c>
      <c r="AT23" s="312">
        <v>3234.304836345872</v>
      </c>
      <c r="AU23" s="298">
        <v>2975579</v>
      </c>
      <c r="AV23" s="312">
        <v>1979.7598137059215</v>
      </c>
      <c r="AW23" s="298">
        <v>4066798</v>
      </c>
      <c r="AX23" s="312">
        <v>1831.0661864025215</v>
      </c>
      <c r="AY23" s="298">
        <v>701196</v>
      </c>
      <c r="AZ23" s="312">
        <v>1665.5486935866984</v>
      </c>
      <c r="BA23" s="298">
        <v>1304399</v>
      </c>
      <c r="BB23" s="312">
        <v>3487.6978609625667</v>
      </c>
      <c r="BC23" s="298">
        <v>5250997</v>
      </c>
      <c r="BD23" s="312">
        <v>2749.2130890052358</v>
      </c>
      <c r="BE23" s="298">
        <v>2066576</v>
      </c>
      <c r="BF23" s="312">
        <v>1947.7624882186617</v>
      </c>
      <c r="BG23" s="298">
        <v>1794940</v>
      </c>
      <c r="BH23" s="312">
        <v>1996.5962180200222</v>
      </c>
      <c r="BI23" s="298">
        <v>701196</v>
      </c>
      <c r="BJ23" s="312">
        <v>1665.5486935866984</v>
      </c>
      <c r="BM23" s="549">
        <v>51</v>
      </c>
      <c r="BN23" s="552" t="s">
        <v>93</v>
      </c>
    </row>
    <row r="24" spans="1:66" x14ac:dyDescent="0.15">
      <c r="A24" s="296">
        <v>17</v>
      </c>
      <c r="B24" s="311" t="s">
        <v>409</v>
      </c>
      <c r="C24" s="298">
        <v>5002</v>
      </c>
      <c r="D24" s="312">
        <v>166.73333333333332</v>
      </c>
      <c r="E24" s="298">
        <v>1037590</v>
      </c>
      <c r="F24" s="312">
        <v>1608.6666666666667</v>
      </c>
      <c r="G24" s="298">
        <v>1186316</v>
      </c>
      <c r="H24" s="312">
        <v>899.40561031084155</v>
      </c>
      <c r="I24" s="298">
        <v>2675669</v>
      </c>
      <c r="J24" s="312">
        <v>1113.9338051623647</v>
      </c>
      <c r="K24" s="298">
        <v>10821203</v>
      </c>
      <c r="L24" s="312">
        <v>2245.0628630705396</v>
      </c>
      <c r="M24" s="298">
        <v>3620</v>
      </c>
      <c r="N24" s="312">
        <v>157.39130434782609</v>
      </c>
      <c r="O24" s="298">
        <v>439390</v>
      </c>
      <c r="P24" s="312">
        <v>649.98520710059177</v>
      </c>
      <c r="Q24" s="298">
        <v>1783814</v>
      </c>
      <c r="R24" s="312">
        <v>1238.7597222222223</v>
      </c>
      <c r="S24" s="298">
        <v>5671812</v>
      </c>
      <c r="T24" s="312">
        <v>1876.8405029781602</v>
      </c>
      <c r="U24" s="298">
        <v>7658625</v>
      </c>
      <c r="V24" s="312">
        <v>2182.5662581932174</v>
      </c>
      <c r="W24" s="298">
        <v>4580</v>
      </c>
      <c r="X24" s="312">
        <v>130.85714285714286</v>
      </c>
      <c r="Y24" s="298">
        <v>1482298</v>
      </c>
      <c r="Z24" s="312">
        <v>1520.3056410256411</v>
      </c>
      <c r="AA24" s="298">
        <v>609038</v>
      </c>
      <c r="AB24" s="312">
        <v>1885.5665634674922</v>
      </c>
      <c r="AC24" s="298">
        <v>2621404</v>
      </c>
      <c r="AD24" s="312">
        <v>1811.612992398065</v>
      </c>
      <c r="AE24" s="298">
        <v>5410797</v>
      </c>
      <c r="AF24" s="312">
        <v>635.5176180408738</v>
      </c>
      <c r="AG24" s="298">
        <v>0</v>
      </c>
      <c r="AH24" s="312" t="e">
        <v>#DIV/0!</v>
      </c>
      <c r="AI24" s="298">
        <v>879659</v>
      </c>
      <c r="AJ24" s="312">
        <v>777.08392226148408</v>
      </c>
      <c r="AK24" s="298">
        <v>1609351</v>
      </c>
      <c r="AL24" s="312">
        <v>1178.1486090775988</v>
      </c>
      <c r="AM24" s="298">
        <v>2078647</v>
      </c>
      <c r="AN24" s="312">
        <v>1329.9085092770313</v>
      </c>
      <c r="AO24" s="298">
        <v>1926017</v>
      </c>
      <c r="AP24" s="312">
        <v>1707.4618794326241</v>
      </c>
      <c r="AQ24" s="298">
        <v>1926017</v>
      </c>
      <c r="AR24" s="312">
        <v>1707.4618794326241</v>
      </c>
      <c r="AS24" s="298">
        <v>2843658</v>
      </c>
      <c r="AT24" s="312">
        <v>1389.1831949193943</v>
      </c>
      <c r="AU24" s="298">
        <v>2108019</v>
      </c>
      <c r="AV24" s="312">
        <v>1402.5409181636726</v>
      </c>
      <c r="AW24" s="298">
        <v>3026820</v>
      </c>
      <c r="AX24" s="312">
        <v>1362.8185502026115</v>
      </c>
      <c r="AY24" s="298">
        <v>653874</v>
      </c>
      <c r="AZ24" s="312">
        <v>1553.144893111639</v>
      </c>
      <c r="BA24" s="298">
        <v>404259</v>
      </c>
      <c r="BB24" s="312">
        <v>1080.9064171122996</v>
      </c>
      <c r="BC24" s="298">
        <v>2625311</v>
      </c>
      <c r="BD24" s="312">
        <v>1374.5083769633509</v>
      </c>
      <c r="BE24" s="298">
        <v>990342</v>
      </c>
      <c r="BF24" s="312">
        <v>933.40433553251648</v>
      </c>
      <c r="BG24" s="298">
        <v>1744840</v>
      </c>
      <c r="BH24" s="312">
        <v>1940.8676307007786</v>
      </c>
      <c r="BI24" s="298">
        <v>653874</v>
      </c>
      <c r="BJ24" s="312">
        <v>1553.144893111639</v>
      </c>
      <c r="BM24" s="549">
        <v>52</v>
      </c>
      <c r="BN24" s="550" t="s">
        <v>94</v>
      </c>
    </row>
    <row r="25" spans="1:66" x14ac:dyDescent="0.15">
      <c r="A25" s="304">
        <v>18</v>
      </c>
      <c r="B25" s="313" t="s">
        <v>410</v>
      </c>
      <c r="C25" s="306">
        <v>637002</v>
      </c>
      <c r="D25" s="314">
        <v>21233.4</v>
      </c>
      <c r="E25" s="306">
        <v>6524788</v>
      </c>
      <c r="F25" s="314">
        <v>10115.950387596899</v>
      </c>
      <c r="G25" s="306">
        <v>14682894</v>
      </c>
      <c r="H25" s="314">
        <v>11131.837755875664</v>
      </c>
      <c r="I25" s="306">
        <v>23719720</v>
      </c>
      <c r="J25" s="314">
        <v>9874.9875104079929</v>
      </c>
      <c r="K25" s="306">
        <v>53368277</v>
      </c>
      <c r="L25" s="314">
        <v>11072.25663900415</v>
      </c>
      <c r="M25" s="306">
        <v>225082</v>
      </c>
      <c r="N25" s="314">
        <v>9786.173913043478</v>
      </c>
      <c r="O25" s="306">
        <v>6242691</v>
      </c>
      <c r="P25" s="314">
        <v>9234.75</v>
      </c>
      <c r="Q25" s="306">
        <v>13734183</v>
      </c>
      <c r="R25" s="314">
        <v>9537.6270833333328</v>
      </c>
      <c r="S25" s="306">
        <v>30744839</v>
      </c>
      <c r="T25" s="314">
        <v>10173.672733289213</v>
      </c>
      <c r="U25" s="306">
        <v>32407218</v>
      </c>
      <c r="V25" s="314">
        <v>9235.4568253063553</v>
      </c>
      <c r="W25" s="306">
        <v>421517</v>
      </c>
      <c r="X25" s="314">
        <v>12043.342857142858</v>
      </c>
      <c r="Y25" s="306">
        <v>10402620</v>
      </c>
      <c r="Z25" s="314">
        <v>10669.353846153846</v>
      </c>
      <c r="AA25" s="306">
        <v>2157110</v>
      </c>
      <c r="AB25" s="314">
        <v>6678.3591331269354</v>
      </c>
      <c r="AC25" s="306">
        <v>13125269</v>
      </c>
      <c r="AD25" s="314">
        <v>9070.6765722183827</v>
      </c>
      <c r="AE25" s="306">
        <v>29252367</v>
      </c>
      <c r="AF25" s="314">
        <v>3435.7959830866807</v>
      </c>
      <c r="AG25" s="306">
        <v>0</v>
      </c>
      <c r="AH25" s="314" t="e">
        <v>#DIV/0!</v>
      </c>
      <c r="AI25" s="306">
        <v>8399634</v>
      </c>
      <c r="AJ25" s="314">
        <v>7420.1713780918726</v>
      </c>
      <c r="AK25" s="306">
        <v>9911057</v>
      </c>
      <c r="AL25" s="314">
        <v>7255.5322108345536</v>
      </c>
      <c r="AM25" s="306">
        <v>12837190</v>
      </c>
      <c r="AN25" s="314">
        <v>8213.1733845169547</v>
      </c>
      <c r="AO25" s="306">
        <v>8868902</v>
      </c>
      <c r="AP25" s="314">
        <v>7862.5017730496456</v>
      </c>
      <c r="AQ25" s="306">
        <v>8868902</v>
      </c>
      <c r="AR25" s="314">
        <v>7862.5017730496456</v>
      </c>
      <c r="AS25" s="306">
        <v>21676321</v>
      </c>
      <c r="AT25" s="314">
        <v>10589.311675622863</v>
      </c>
      <c r="AU25" s="306">
        <v>12966163</v>
      </c>
      <c r="AV25" s="314">
        <v>8626.8549567531609</v>
      </c>
      <c r="AW25" s="306">
        <v>21066149</v>
      </c>
      <c r="AX25" s="314">
        <v>9484.9837910850965</v>
      </c>
      <c r="AY25" s="306">
        <v>2715889</v>
      </c>
      <c r="AZ25" s="314">
        <v>6451.0427553444179</v>
      </c>
      <c r="BA25" s="306">
        <v>3972134</v>
      </c>
      <c r="BB25" s="314">
        <v>10620.679144385027</v>
      </c>
      <c r="BC25" s="306">
        <v>15922813</v>
      </c>
      <c r="BD25" s="314">
        <v>8336.5513089005235</v>
      </c>
      <c r="BE25" s="306">
        <v>8359639</v>
      </c>
      <c r="BF25" s="314">
        <v>7879.0188501413759</v>
      </c>
      <c r="BG25" s="306">
        <v>7360949</v>
      </c>
      <c r="BH25" s="314">
        <v>8187.929922135706</v>
      </c>
      <c r="BI25" s="306">
        <v>2715889</v>
      </c>
      <c r="BJ25" s="314">
        <v>6451.0427553444179</v>
      </c>
      <c r="BM25" s="549">
        <v>53</v>
      </c>
      <c r="BN25" s="550" t="s">
        <v>95</v>
      </c>
    </row>
    <row r="26" spans="1:66" x14ac:dyDescent="0.15">
      <c r="A26" s="304">
        <v>19</v>
      </c>
      <c r="B26" s="313" t="s">
        <v>31</v>
      </c>
      <c r="C26" s="315">
        <v>62863</v>
      </c>
      <c r="D26" s="316">
        <v>2095.4333333333334</v>
      </c>
      <c r="E26" s="315">
        <v>641272</v>
      </c>
      <c r="F26" s="316">
        <v>994.22015503875969</v>
      </c>
      <c r="G26" s="315">
        <v>810036</v>
      </c>
      <c r="H26" s="316">
        <v>614.12888551933281</v>
      </c>
      <c r="I26" s="315">
        <v>1001171</v>
      </c>
      <c r="J26" s="316">
        <v>416.80724396336387</v>
      </c>
      <c r="K26" s="315">
        <v>313714</v>
      </c>
      <c r="L26" s="316">
        <v>65.085892116182578</v>
      </c>
      <c r="M26" s="315">
        <v>0</v>
      </c>
      <c r="N26" s="316">
        <v>0</v>
      </c>
      <c r="O26" s="315">
        <v>100064</v>
      </c>
      <c r="P26" s="316">
        <v>148.02366863905326</v>
      </c>
      <c r="Q26" s="315">
        <v>0</v>
      </c>
      <c r="R26" s="316">
        <v>0</v>
      </c>
      <c r="S26" s="315">
        <v>280398</v>
      </c>
      <c r="T26" s="316">
        <v>92.785572468563871</v>
      </c>
      <c r="U26" s="315">
        <v>2814385</v>
      </c>
      <c r="V26" s="316">
        <v>802.04759190652612</v>
      </c>
      <c r="W26" s="315">
        <v>0</v>
      </c>
      <c r="X26" s="316">
        <v>0</v>
      </c>
      <c r="Y26" s="315">
        <v>1544845</v>
      </c>
      <c r="Z26" s="316">
        <v>1584.4564102564102</v>
      </c>
      <c r="AA26" s="315">
        <v>0</v>
      </c>
      <c r="AB26" s="316">
        <v>0</v>
      </c>
      <c r="AC26" s="315">
        <v>0</v>
      </c>
      <c r="AD26" s="316">
        <v>0</v>
      </c>
      <c r="AE26" s="315">
        <v>601906</v>
      </c>
      <c r="AF26" s="316">
        <v>70.696030068123093</v>
      </c>
      <c r="AG26" s="315">
        <v>0</v>
      </c>
      <c r="AH26" s="316" t="e">
        <v>#DIV/0!</v>
      </c>
      <c r="AI26" s="315">
        <v>38603</v>
      </c>
      <c r="AJ26" s="316">
        <v>34.101590106007066</v>
      </c>
      <c r="AK26" s="315">
        <v>0</v>
      </c>
      <c r="AL26" s="316">
        <v>0</v>
      </c>
      <c r="AM26" s="315">
        <v>0</v>
      </c>
      <c r="AN26" s="316">
        <v>0</v>
      </c>
      <c r="AO26" s="315">
        <v>136005</v>
      </c>
      <c r="AP26" s="316">
        <v>120.57180851063829</v>
      </c>
      <c r="AQ26" s="315">
        <v>136005</v>
      </c>
      <c r="AR26" s="316">
        <v>120.57180851063829</v>
      </c>
      <c r="AS26" s="315">
        <v>2221008</v>
      </c>
      <c r="AT26" s="316">
        <v>1085.0063507572056</v>
      </c>
      <c r="AU26" s="315">
        <v>1245962</v>
      </c>
      <c r="AV26" s="316">
        <v>828.98336660013308</v>
      </c>
      <c r="AW26" s="315">
        <v>1059071</v>
      </c>
      <c r="AX26" s="316">
        <v>476.84421431787484</v>
      </c>
      <c r="AY26" s="315">
        <v>0</v>
      </c>
      <c r="AZ26" s="316">
        <v>0</v>
      </c>
      <c r="BA26" s="315">
        <v>0</v>
      </c>
      <c r="BB26" s="316">
        <v>0</v>
      </c>
      <c r="BC26" s="315">
        <v>0</v>
      </c>
      <c r="BD26" s="316">
        <v>0</v>
      </c>
      <c r="BE26" s="315">
        <v>60478</v>
      </c>
      <c r="BF26" s="316">
        <v>57.0009425070688</v>
      </c>
      <c r="BG26" s="315">
        <v>0</v>
      </c>
      <c r="BH26" s="316">
        <v>0</v>
      </c>
      <c r="BI26" s="315">
        <v>0</v>
      </c>
      <c r="BJ26" s="316">
        <v>0</v>
      </c>
      <c r="BM26" s="549">
        <v>54</v>
      </c>
      <c r="BN26" s="550" t="s">
        <v>96</v>
      </c>
    </row>
    <row r="27" spans="1:66" x14ac:dyDescent="0.15">
      <c r="A27" s="296">
        <v>20</v>
      </c>
      <c r="B27" s="311" t="s">
        <v>30</v>
      </c>
      <c r="C27" s="298">
        <v>0</v>
      </c>
      <c r="D27" s="312">
        <v>0</v>
      </c>
      <c r="E27" s="298">
        <v>1582980</v>
      </c>
      <c r="F27" s="312">
        <v>2454.2325581395348</v>
      </c>
      <c r="G27" s="298">
        <v>4068274</v>
      </c>
      <c r="H27" s="312">
        <v>3084.3623957543596</v>
      </c>
      <c r="I27" s="298">
        <v>6037567</v>
      </c>
      <c r="J27" s="312">
        <v>2513.5582847626979</v>
      </c>
      <c r="K27" s="298">
        <v>10424077</v>
      </c>
      <c r="L27" s="312">
        <v>2162.6715767634855</v>
      </c>
      <c r="M27" s="298">
        <v>10575</v>
      </c>
      <c r="N27" s="312">
        <v>459.78260869565219</v>
      </c>
      <c r="O27" s="298">
        <v>810353</v>
      </c>
      <c r="P27" s="312">
        <v>1198.7470414201184</v>
      </c>
      <c r="Q27" s="298">
        <v>2838952</v>
      </c>
      <c r="R27" s="312">
        <v>1971.4944444444445</v>
      </c>
      <c r="S27" s="298">
        <v>7068942</v>
      </c>
      <c r="T27" s="312">
        <v>2339.1601588352087</v>
      </c>
      <c r="U27" s="298">
        <v>7605765</v>
      </c>
      <c r="V27" s="312">
        <v>2167.5021373610716</v>
      </c>
      <c r="W27" s="298">
        <v>0</v>
      </c>
      <c r="X27" s="312">
        <v>0</v>
      </c>
      <c r="Y27" s="298">
        <v>1865607</v>
      </c>
      <c r="Z27" s="312">
        <v>1913.4430769230769</v>
      </c>
      <c r="AA27" s="298">
        <v>449845</v>
      </c>
      <c r="AB27" s="312">
        <v>1392.7089783281733</v>
      </c>
      <c r="AC27" s="298">
        <v>2491887</v>
      </c>
      <c r="AD27" s="312">
        <v>1722.1057360055286</v>
      </c>
      <c r="AE27" s="298">
        <v>6867654</v>
      </c>
      <c r="AF27" s="312">
        <v>806.63072586328406</v>
      </c>
      <c r="AG27" s="298">
        <v>0</v>
      </c>
      <c r="AH27" s="312" t="e">
        <v>#DIV/0!</v>
      </c>
      <c r="AI27" s="298">
        <v>3133154</v>
      </c>
      <c r="AJ27" s="312">
        <v>2767.8038869257953</v>
      </c>
      <c r="AK27" s="298">
        <v>3150751</v>
      </c>
      <c r="AL27" s="312">
        <v>2306.5527086383604</v>
      </c>
      <c r="AM27" s="298">
        <v>3074713</v>
      </c>
      <c r="AN27" s="312">
        <v>1967.1868202175303</v>
      </c>
      <c r="AO27" s="298">
        <v>2467602</v>
      </c>
      <c r="AP27" s="312">
        <v>2187.5904255319151</v>
      </c>
      <c r="AQ27" s="298">
        <v>2467602</v>
      </c>
      <c r="AR27" s="312">
        <v>2187.5904255319151</v>
      </c>
      <c r="AS27" s="298">
        <v>4946049</v>
      </c>
      <c r="AT27" s="312">
        <v>2416.2427943331704</v>
      </c>
      <c r="AU27" s="298">
        <v>3730311</v>
      </c>
      <c r="AV27" s="312">
        <v>2481.9101796407185</v>
      </c>
      <c r="AW27" s="298">
        <v>5330048</v>
      </c>
      <c r="AX27" s="312">
        <v>2399.8415128320576</v>
      </c>
      <c r="AY27" s="298">
        <v>712372</v>
      </c>
      <c r="AZ27" s="312">
        <v>1692.0950118764845</v>
      </c>
      <c r="BA27" s="298">
        <v>760640</v>
      </c>
      <c r="BB27" s="312">
        <v>2033.7967914438502</v>
      </c>
      <c r="BC27" s="298">
        <v>4610120</v>
      </c>
      <c r="BD27" s="312">
        <v>2413.6753926701572</v>
      </c>
      <c r="BE27" s="298">
        <v>2144681</v>
      </c>
      <c r="BF27" s="312">
        <v>2021.3770028275212</v>
      </c>
      <c r="BG27" s="298">
        <v>2098792</v>
      </c>
      <c r="BH27" s="312">
        <v>2334.5850945494994</v>
      </c>
      <c r="BI27" s="298">
        <v>712372</v>
      </c>
      <c r="BJ27" s="312">
        <v>1692.0950118764845</v>
      </c>
      <c r="BM27" s="549">
        <v>55</v>
      </c>
      <c r="BN27" s="550" t="s">
        <v>438</v>
      </c>
    </row>
    <row r="28" spans="1:66" x14ac:dyDescent="0.15">
      <c r="A28" s="296">
        <v>21</v>
      </c>
      <c r="B28" s="311" t="s">
        <v>411</v>
      </c>
      <c r="C28" s="298">
        <v>79807</v>
      </c>
      <c r="D28" s="312">
        <v>2660.2333333333331</v>
      </c>
      <c r="E28" s="298">
        <v>3212844</v>
      </c>
      <c r="F28" s="312">
        <v>4981.1534883720933</v>
      </c>
      <c r="G28" s="298">
        <v>4955071</v>
      </c>
      <c r="H28" s="312">
        <v>3756.6876421531465</v>
      </c>
      <c r="I28" s="298">
        <v>8164149</v>
      </c>
      <c r="J28" s="312">
        <v>3398.8963363863445</v>
      </c>
      <c r="K28" s="298">
        <v>15183128</v>
      </c>
      <c r="L28" s="312">
        <v>3150.0265560165976</v>
      </c>
      <c r="M28" s="298">
        <v>195066</v>
      </c>
      <c r="N28" s="312">
        <v>8481.1304347826081</v>
      </c>
      <c r="O28" s="298">
        <v>3087257</v>
      </c>
      <c r="P28" s="312">
        <v>4566.9482248520708</v>
      </c>
      <c r="Q28" s="298">
        <v>5202675</v>
      </c>
      <c r="R28" s="312">
        <v>3612.96875</v>
      </c>
      <c r="S28" s="298">
        <v>9038279</v>
      </c>
      <c r="T28" s="312">
        <v>2990.8269358041034</v>
      </c>
      <c r="U28" s="298">
        <v>9552313</v>
      </c>
      <c r="V28" s="312">
        <v>2722.2322599031063</v>
      </c>
      <c r="W28" s="298">
        <v>258564</v>
      </c>
      <c r="X28" s="312">
        <v>7387.5428571428574</v>
      </c>
      <c r="Y28" s="298">
        <v>4741342</v>
      </c>
      <c r="Z28" s="312">
        <v>4862.9148717948719</v>
      </c>
      <c r="AA28" s="298">
        <v>1647962</v>
      </c>
      <c r="AB28" s="312">
        <v>5102.0495356037154</v>
      </c>
      <c r="AC28" s="298">
        <v>4007111</v>
      </c>
      <c r="AD28" s="312">
        <v>2769.2543192812718</v>
      </c>
      <c r="AE28" s="298">
        <v>9578393</v>
      </c>
      <c r="AF28" s="312">
        <v>1125.0167958656332</v>
      </c>
      <c r="AG28" s="298">
        <v>0</v>
      </c>
      <c r="AH28" s="312" t="e">
        <v>#DIV/0!</v>
      </c>
      <c r="AI28" s="298">
        <v>4832903</v>
      </c>
      <c r="AJ28" s="312">
        <v>4269.3489399293285</v>
      </c>
      <c r="AK28" s="298">
        <v>5754932</v>
      </c>
      <c r="AL28" s="312">
        <v>4212.9809663250362</v>
      </c>
      <c r="AM28" s="298">
        <v>4647244</v>
      </c>
      <c r="AN28" s="312">
        <v>2973.2847088931544</v>
      </c>
      <c r="AO28" s="298">
        <v>2933781</v>
      </c>
      <c r="AP28" s="312">
        <v>2600.869680851064</v>
      </c>
      <c r="AQ28" s="298">
        <v>2933781</v>
      </c>
      <c r="AR28" s="312">
        <v>2600.869680851064</v>
      </c>
      <c r="AS28" s="298">
        <v>8581955</v>
      </c>
      <c r="AT28" s="312">
        <v>4192.4548119198826</v>
      </c>
      <c r="AU28" s="298">
        <v>5265488</v>
      </c>
      <c r="AV28" s="312">
        <v>3503.3186959414506</v>
      </c>
      <c r="AW28" s="298">
        <v>7159330</v>
      </c>
      <c r="AX28" s="312">
        <v>3223.4714092751015</v>
      </c>
      <c r="AY28" s="298">
        <v>1064468</v>
      </c>
      <c r="AZ28" s="312">
        <v>2528.4275534441804</v>
      </c>
      <c r="BA28" s="298">
        <v>2181875</v>
      </c>
      <c r="BB28" s="312">
        <v>5833.8903743315504</v>
      </c>
      <c r="BC28" s="298">
        <v>8060490</v>
      </c>
      <c r="BD28" s="312">
        <v>4220.1518324607332</v>
      </c>
      <c r="BE28" s="298">
        <v>3906567</v>
      </c>
      <c r="BF28" s="312">
        <v>3681.9670122525918</v>
      </c>
      <c r="BG28" s="298">
        <v>3103724</v>
      </c>
      <c r="BH28" s="312">
        <v>3452.4182424916576</v>
      </c>
      <c r="BI28" s="298">
        <v>1064468</v>
      </c>
      <c r="BJ28" s="312">
        <v>2528.4275534441804</v>
      </c>
      <c r="BM28" s="549">
        <v>61</v>
      </c>
      <c r="BN28" s="550" t="s">
        <v>439</v>
      </c>
    </row>
    <row r="29" spans="1:66" x14ac:dyDescent="0.15">
      <c r="A29" s="304">
        <v>22</v>
      </c>
      <c r="B29" s="313" t="s">
        <v>412</v>
      </c>
      <c r="C29" s="298">
        <v>79807</v>
      </c>
      <c r="D29" s="312">
        <v>2660.2333333333331</v>
      </c>
      <c r="E29" s="298">
        <v>4795824</v>
      </c>
      <c r="F29" s="312">
        <v>7435.3860465116277</v>
      </c>
      <c r="G29" s="298">
        <v>9023345</v>
      </c>
      <c r="H29" s="312">
        <v>6841.0500379075056</v>
      </c>
      <c r="I29" s="298">
        <v>14201716</v>
      </c>
      <c r="J29" s="312">
        <v>5912.4546211490424</v>
      </c>
      <c r="K29" s="298">
        <v>25607205</v>
      </c>
      <c r="L29" s="312">
        <v>5312.6981327800831</v>
      </c>
      <c r="M29" s="298">
        <v>205641</v>
      </c>
      <c r="N29" s="312">
        <v>8940.9130434782601</v>
      </c>
      <c r="O29" s="298">
        <v>3897610</v>
      </c>
      <c r="P29" s="312">
        <v>5765.6952662721897</v>
      </c>
      <c r="Q29" s="298">
        <v>8041627</v>
      </c>
      <c r="R29" s="312">
        <v>5584.4631944444445</v>
      </c>
      <c r="S29" s="298">
        <v>16107221</v>
      </c>
      <c r="T29" s="312">
        <v>5329.9870946393121</v>
      </c>
      <c r="U29" s="298">
        <v>17158078</v>
      </c>
      <c r="V29" s="312">
        <v>4889.7343972641775</v>
      </c>
      <c r="W29" s="298">
        <v>258564</v>
      </c>
      <c r="X29" s="312">
        <v>7387.5428571428574</v>
      </c>
      <c r="Y29" s="298">
        <v>6606949</v>
      </c>
      <c r="Z29" s="312">
        <v>6776.3579487179486</v>
      </c>
      <c r="AA29" s="298">
        <v>2097807</v>
      </c>
      <c r="AB29" s="312">
        <v>6494.758513931889</v>
      </c>
      <c r="AC29" s="298">
        <v>6498998</v>
      </c>
      <c r="AD29" s="312">
        <v>4491.3600552868002</v>
      </c>
      <c r="AE29" s="298">
        <v>16446047</v>
      </c>
      <c r="AF29" s="312">
        <v>1931.6475217289171</v>
      </c>
      <c r="AG29" s="298">
        <v>0</v>
      </c>
      <c r="AH29" s="312" t="e">
        <v>#DIV/0!</v>
      </c>
      <c r="AI29" s="298">
        <v>7966057</v>
      </c>
      <c r="AJ29" s="312">
        <v>7037.1528268551237</v>
      </c>
      <c r="AK29" s="298">
        <v>8905683</v>
      </c>
      <c r="AL29" s="312">
        <v>6519.5336749633971</v>
      </c>
      <c r="AM29" s="298">
        <v>7721957</v>
      </c>
      <c r="AN29" s="312">
        <v>4940.471529110685</v>
      </c>
      <c r="AO29" s="298">
        <v>5401383</v>
      </c>
      <c r="AP29" s="312">
        <v>4788.4601063829787</v>
      </c>
      <c r="AQ29" s="298">
        <v>5401383</v>
      </c>
      <c r="AR29" s="312">
        <v>4788.4601063829787</v>
      </c>
      <c r="AS29" s="298">
        <v>13528004</v>
      </c>
      <c r="AT29" s="312">
        <v>6608.697606253053</v>
      </c>
      <c r="AU29" s="298">
        <v>8995799</v>
      </c>
      <c r="AV29" s="312">
        <v>5985.2288755821692</v>
      </c>
      <c r="AW29" s="298">
        <v>12489378</v>
      </c>
      <c r="AX29" s="312">
        <v>5623.3129221071586</v>
      </c>
      <c r="AY29" s="298">
        <v>1776840</v>
      </c>
      <c r="AZ29" s="312">
        <v>4220.5225653206653</v>
      </c>
      <c r="BA29" s="298">
        <v>2942515</v>
      </c>
      <c r="BB29" s="312">
        <v>7867.6871657754009</v>
      </c>
      <c r="BC29" s="298">
        <v>12670610</v>
      </c>
      <c r="BD29" s="312">
        <v>6633.8272251308899</v>
      </c>
      <c r="BE29" s="298">
        <v>6051248</v>
      </c>
      <c r="BF29" s="312">
        <v>5703.3440150801134</v>
      </c>
      <c r="BG29" s="298">
        <v>5202516</v>
      </c>
      <c r="BH29" s="312">
        <v>5787.0033370411566</v>
      </c>
      <c r="BI29" s="298">
        <v>1776840</v>
      </c>
      <c r="BJ29" s="312">
        <v>4220.5225653206653</v>
      </c>
      <c r="BM29" s="549">
        <v>62</v>
      </c>
      <c r="BN29" s="550" t="s">
        <v>440</v>
      </c>
    </row>
    <row r="30" spans="1:66" x14ac:dyDescent="0.15">
      <c r="A30" s="304">
        <v>23</v>
      </c>
      <c r="B30" s="313" t="s">
        <v>413</v>
      </c>
      <c r="C30" s="315">
        <v>2482288</v>
      </c>
      <c r="D30" s="316">
        <v>82742.933333333334</v>
      </c>
      <c r="E30" s="315">
        <v>48516737</v>
      </c>
      <c r="F30" s="316">
        <v>75219.747286821701</v>
      </c>
      <c r="G30" s="315">
        <v>98546117</v>
      </c>
      <c r="H30" s="316">
        <v>74712.749810462468</v>
      </c>
      <c r="I30" s="315">
        <v>159172468</v>
      </c>
      <c r="J30" s="316">
        <v>66266.639467110741</v>
      </c>
      <c r="K30" s="315">
        <v>316189308</v>
      </c>
      <c r="L30" s="316">
        <v>65599.441493775928</v>
      </c>
      <c r="M30" s="315">
        <v>1983454</v>
      </c>
      <c r="N30" s="316">
        <v>86237.130434782608</v>
      </c>
      <c r="O30" s="315">
        <v>51662444</v>
      </c>
      <c r="P30" s="316">
        <v>76423.733727810657</v>
      </c>
      <c r="Q30" s="315">
        <v>104881439</v>
      </c>
      <c r="R30" s="316">
        <v>72834.332638888882</v>
      </c>
      <c r="S30" s="315">
        <v>203657848</v>
      </c>
      <c r="T30" s="316">
        <v>67391.743216412971</v>
      </c>
      <c r="U30" s="315">
        <v>226600032</v>
      </c>
      <c r="V30" s="316">
        <v>64576.811627244228</v>
      </c>
      <c r="W30" s="315">
        <v>3271075</v>
      </c>
      <c r="X30" s="316">
        <v>93459.28571428571</v>
      </c>
      <c r="Y30" s="315">
        <v>74730224</v>
      </c>
      <c r="Z30" s="316">
        <v>76646.383589743593</v>
      </c>
      <c r="AA30" s="315">
        <v>28937058</v>
      </c>
      <c r="AB30" s="316">
        <v>89588.414860681121</v>
      </c>
      <c r="AC30" s="315">
        <v>94789580</v>
      </c>
      <c r="AD30" s="316">
        <v>65507.657221838286</v>
      </c>
      <c r="AE30" s="315">
        <v>212170640</v>
      </c>
      <c r="AF30" s="316">
        <v>24920.206718346253</v>
      </c>
      <c r="AG30" s="315">
        <v>0</v>
      </c>
      <c r="AH30" s="316" t="e">
        <v>#DIV/0!</v>
      </c>
      <c r="AI30" s="315">
        <v>77458420</v>
      </c>
      <c r="AJ30" s="316">
        <v>68426.166077738511</v>
      </c>
      <c r="AK30" s="315">
        <v>94718561</v>
      </c>
      <c r="AL30" s="316">
        <v>69340.088579795018</v>
      </c>
      <c r="AM30" s="315">
        <v>104278153</v>
      </c>
      <c r="AN30" s="316">
        <v>66716.668586052459</v>
      </c>
      <c r="AO30" s="315">
        <v>74253853</v>
      </c>
      <c r="AP30" s="316">
        <v>65827.883865248223</v>
      </c>
      <c r="AQ30" s="315">
        <v>74253853</v>
      </c>
      <c r="AR30" s="316">
        <v>65827.883865248223</v>
      </c>
      <c r="AS30" s="315">
        <v>181344068</v>
      </c>
      <c r="AT30" s="316">
        <v>88590.165119687343</v>
      </c>
      <c r="AU30" s="315">
        <v>113015523</v>
      </c>
      <c r="AV30" s="316">
        <v>75193.295409181635</v>
      </c>
      <c r="AW30" s="315">
        <v>151264537</v>
      </c>
      <c r="AX30" s="316">
        <v>68106.500225123818</v>
      </c>
      <c r="AY30" s="315">
        <v>25110199</v>
      </c>
      <c r="AZ30" s="316">
        <v>59644.178147268409</v>
      </c>
      <c r="BA30" s="315">
        <v>35693794</v>
      </c>
      <c r="BB30" s="316">
        <v>95437.951871657759</v>
      </c>
      <c r="BC30" s="315">
        <v>159001386</v>
      </c>
      <c r="BD30" s="316">
        <v>83246.798952879588</v>
      </c>
      <c r="BE30" s="315">
        <v>75850477</v>
      </c>
      <c r="BF30" s="316">
        <v>71489.610744580583</v>
      </c>
      <c r="BG30" s="315">
        <v>64885854</v>
      </c>
      <c r="BH30" s="316">
        <v>72175.588431590659</v>
      </c>
      <c r="BI30" s="315">
        <v>25110199</v>
      </c>
      <c r="BJ30" s="316">
        <v>59644.178147268409</v>
      </c>
      <c r="BM30" s="549">
        <v>63</v>
      </c>
      <c r="BN30" s="550" t="s">
        <v>441</v>
      </c>
    </row>
    <row r="31" spans="1:66" x14ac:dyDescent="0.15">
      <c r="A31" s="304">
        <v>24</v>
      </c>
      <c r="B31" s="313" t="s">
        <v>414</v>
      </c>
      <c r="C31" s="315">
        <v>-296837</v>
      </c>
      <c r="D31" s="316">
        <v>-9894.5666666666675</v>
      </c>
      <c r="E31" s="315">
        <v>427605</v>
      </c>
      <c r="F31" s="316">
        <v>662.95348837209303</v>
      </c>
      <c r="G31" s="315">
        <v>123409</v>
      </c>
      <c r="H31" s="316">
        <v>93.562547384382114</v>
      </c>
      <c r="I31" s="315">
        <v>6305188</v>
      </c>
      <c r="J31" s="316">
        <v>2624.9741881765194</v>
      </c>
      <c r="K31" s="315">
        <v>7726120</v>
      </c>
      <c r="L31" s="316">
        <v>1602.929460580913</v>
      </c>
      <c r="M31" s="315">
        <v>-238084</v>
      </c>
      <c r="N31" s="316">
        <v>-10351.478260869566</v>
      </c>
      <c r="O31" s="315">
        <v>1324676</v>
      </c>
      <c r="P31" s="316">
        <v>1959.5798816568047</v>
      </c>
      <c r="Q31" s="315">
        <v>2596844</v>
      </c>
      <c r="R31" s="316">
        <v>1803.3638888888888</v>
      </c>
      <c r="S31" s="315">
        <v>8300806</v>
      </c>
      <c r="T31" s="316">
        <v>2746.7921906022502</v>
      </c>
      <c r="U31" s="315">
        <v>12796343</v>
      </c>
      <c r="V31" s="316">
        <v>3646.7207181533199</v>
      </c>
      <c r="W31" s="315">
        <v>-538573</v>
      </c>
      <c r="X31" s="316">
        <v>-15387.8</v>
      </c>
      <c r="Y31" s="315">
        <v>979564</v>
      </c>
      <c r="Z31" s="316">
        <v>1004.6810256410256</v>
      </c>
      <c r="AA31" s="315">
        <v>1056342</v>
      </c>
      <c r="AB31" s="316">
        <v>3270.4086687306503</v>
      </c>
      <c r="AC31" s="315">
        <v>6338357</v>
      </c>
      <c r="AD31" s="316">
        <v>4380.3434692467172</v>
      </c>
      <c r="AE31" s="315">
        <v>12310330</v>
      </c>
      <c r="AF31" s="316">
        <v>1445.8926474042753</v>
      </c>
      <c r="AG31" s="315">
        <v>0</v>
      </c>
      <c r="AH31" s="316" t="e">
        <v>#DIV/0!</v>
      </c>
      <c r="AI31" s="315">
        <v>2019128</v>
      </c>
      <c r="AJ31" s="316">
        <v>1783.6819787985867</v>
      </c>
      <c r="AK31" s="315">
        <v>4413584</v>
      </c>
      <c r="AL31" s="316">
        <v>3231.0278184480235</v>
      </c>
      <c r="AM31" s="315">
        <v>3839348</v>
      </c>
      <c r="AN31" s="316">
        <v>2456.3966730646193</v>
      </c>
      <c r="AO31" s="315">
        <v>6898535</v>
      </c>
      <c r="AP31" s="316">
        <v>6115.7225177304963</v>
      </c>
      <c r="AQ31" s="315">
        <v>6898535</v>
      </c>
      <c r="AR31" s="316">
        <v>6115.7225177304963</v>
      </c>
      <c r="AS31" s="315">
        <v>5984460</v>
      </c>
      <c r="AT31" s="316">
        <v>2923.5271128480704</v>
      </c>
      <c r="AU31" s="315">
        <v>5943614</v>
      </c>
      <c r="AV31" s="316">
        <v>3954.5003326679976</v>
      </c>
      <c r="AW31" s="315">
        <v>5015378</v>
      </c>
      <c r="AX31" s="316">
        <v>2258.162089149032</v>
      </c>
      <c r="AY31" s="315">
        <v>2283260</v>
      </c>
      <c r="AZ31" s="316">
        <v>5423.4204275534439</v>
      </c>
      <c r="BA31" s="315">
        <v>72524</v>
      </c>
      <c r="BB31" s="316">
        <v>193.91443850267379</v>
      </c>
      <c r="BC31" s="315">
        <v>4317520</v>
      </c>
      <c r="BD31" s="316">
        <v>2260.4816753926702</v>
      </c>
      <c r="BE31" s="315">
        <v>2328837</v>
      </c>
      <c r="BF31" s="316">
        <v>2194.9453345900092</v>
      </c>
      <c r="BG31" s="315">
        <v>2680429</v>
      </c>
      <c r="BH31" s="316">
        <v>2981.5672969966631</v>
      </c>
      <c r="BI31" s="315">
        <v>2283260</v>
      </c>
      <c r="BJ31" s="316">
        <v>5423.4204275534439</v>
      </c>
      <c r="BM31" s="549">
        <v>64</v>
      </c>
      <c r="BN31" s="550" t="s">
        <v>442</v>
      </c>
    </row>
    <row r="32" spans="1:66" x14ac:dyDescent="0.15">
      <c r="A32" s="296">
        <v>25</v>
      </c>
      <c r="B32" s="311" t="s">
        <v>29</v>
      </c>
      <c r="C32" s="298">
        <v>0</v>
      </c>
      <c r="D32" s="312">
        <v>0</v>
      </c>
      <c r="E32" s="298">
        <v>152966</v>
      </c>
      <c r="F32" s="312">
        <v>237.15658914728681</v>
      </c>
      <c r="G32" s="298">
        <v>56562</v>
      </c>
      <c r="H32" s="312">
        <v>42.88248673237301</v>
      </c>
      <c r="I32" s="298">
        <v>13246</v>
      </c>
      <c r="J32" s="312">
        <v>5.5145711906744381</v>
      </c>
      <c r="K32" s="298">
        <v>2620147</v>
      </c>
      <c r="L32" s="312">
        <v>543.59896265560167</v>
      </c>
      <c r="M32" s="298">
        <v>0</v>
      </c>
      <c r="N32" s="312">
        <v>0</v>
      </c>
      <c r="O32" s="298">
        <v>1666</v>
      </c>
      <c r="P32" s="312">
        <v>2.4644970414201182</v>
      </c>
      <c r="Q32" s="298">
        <v>52871</v>
      </c>
      <c r="R32" s="312">
        <v>36.71597222222222</v>
      </c>
      <c r="S32" s="298">
        <v>21641</v>
      </c>
      <c r="T32" s="312">
        <v>7.1611515552614167</v>
      </c>
      <c r="U32" s="298">
        <v>200912</v>
      </c>
      <c r="V32" s="312">
        <v>57.256198347107436</v>
      </c>
      <c r="W32" s="298">
        <v>0</v>
      </c>
      <c r="X32" s="312">
        <v>0</v>
      </c>
      <c r="Y32" s="298">
        <v>10388</v>
      </c>
      <c r="Z32" s="312">
        <v>10.654358974358974</v>
      </c>
      <c r="AA32" s="298">
        <v>2110</v>
      </c>
      <c r="AB32" s="312">
        <v>6.5325077399380804</v>
      </c>
      <c r="AC32" s="298">
        <v>6531</v>
      </c>
      <c r="AD32" s="312">
        <v>4.5134761575673812</v>
      </c>
      <c r="AE32" s="298">
        <v>269595</v>
      </c>
      <c r="AF32" s="312">
        <v>31.664904862579281</v>
      </c>
      <c r="AG32" s="298">
        <v>0</v>
      </c>
      <c r="AH32" s="312" t="e">
        <v>#DIV/0!</v>
      </c>
      <c r="AI32" s="298">
        <v>20329</v>
      </c>
      <c r="AJ32" s="312">
        <v>17.958480565371026</v>
      </c>
      <c r="AK32" s="298">
        <v>7556</v>
      </c>
      <c r="AL32" s="312">
        <v>5.5314787701317716</v>
      </c>
      <c r="AM32" s="298">
        <v>9850</v>
      </c>
      <c r="AN32" s="312">
        <v>6.301983365323097</v>
      </c>
      <c r="AO32" s="298">
        <v>225</v>
      </c>
      <c r="AP32" s="312">
        <v>0.19946808510638298</v>
      </c>
      <c r="AQ32" s="298">
        <v>225</v>
      </c>
      <c r="AR32" s="312">
        <v>0.19946808510638298</v>
      </c>
      <c r="AS32" s="298">
        <v>27880</v>
      </c>
      <c r="AT32" s="312">
        <v>13.619931607230093</v>
      </c>
      <c r="AU32" s="298">
        <v>27088</v>
      </c>
      <c r="AV32" s="312">
        <v>18.022621423819029</v>
      </c>
      <c r="AW32" s="298">
        <v>17727</v>
      </c>
      <c r="AX32" s="312">
        <v>7.9815398469158039</v>
      </c>
      <c r="AY32" s="298">
        <v>4304</v>
      </c>
      <c r="AZ32" s="312">
        <v>10.223277909738718</v>
      </c>
      <c r="BA32" s="298">
        <v>4330</v>
      </c>
      <c r="BB32" s="312">
        <v>11.577540106951872</v>
      </c>
      <c r="BC32" s="298">
        <v>43962</v>
      </c>
      <c r="BD32" s="312">
        <v>23.016753926701572</v>
      </c>
      <c r="BE32" s="298">
        <v>18154</v>
      </c>
      <c r="BF32" s="312">
        <v>17.110273327049953</v>
      </c>
      <c r="BG32" s="298">
        <v>18112</v>
      </c>
      <c r="BH32" s="312">
        <v>20.146829810901</v>
      </c>
      <c r="BI32" s="298">
        <v>4304</v>
      </c>
      <c r="BJ32" s="312">
        <v>10.223277909738718</v>
      </c>
      <c r="BM32" s="553">
        <v>65</v>
      </c>
      <c r="BN32" s="554" t="s">
        <v>443</v>
      </c>
    </row>
    <row r="33" spans="1:66" x14ac:dyDescent="0.15">
      <c r="A33" s="296">
        <v>26</v>
      </c>
      <c r="B33" s="311" t="s">
        <v>28</v>
      </c>
      <c r="C33" s="298">
        <v>0</v>
      </c>
      <c r="D33" s="312">
        <v>0</v>
      </c>
      <c r="E33" s="298">
        <v>-230015</v>
      </c>
      <c r="F33" s="312">
        <v>-356.61240310077517</v>
      </c>
      <c r="G33" s="298">
        <v>-202812</v>
      </c>
      <c r="H33" s="312">
        <v>-153.76194086429112</v>
      </c>
      <c r="I33" s="298">
        <v>-1852665</v>
      </c>
      <c r="J33" s="312">
        <v>-771.30099916736049</v>
      </c>
      <c r="K33" s="298">
        <v>-4142181</v>
      </c>
      <c r="L33" s="312">
        <v>-859.37365145228216</v>
      </c>
      <c r="M33" s="298">
        <v>0</v>
      </c>
      <c r="N33" s="312">
        <v>0</v>
      </c>
      <c r="O33" s="298">
        <v>-111473</v>
      </c>
      <c r="P33" s="312">
        <v>-164.9008875739645</v>
      </c>
      <c r="Q33" s="298">
        <v>-852244</v>
      </c>
      <c r="R33" s="312">
        <v>-591.83611111111111</v>
      </c>
      <c r="S33" s="298">
        <v>-1615575</v>
      </c>
      <c r="T33" s="312">
        <v>-534.60456651224354</v>
      </c>
      <c r="U33" s="298">
        <v>-5448407</v>
      </c>
      <c r="V33" s="312">
        <v>-1552.6950698204616</v>
      </c>
      <c r="W33" s="298">
        <v>0</v>
      </c>
      <c r="X33" s="312">
        <v>0</v>
      </c>
      <c r="Y33" s="298">
        <v>-703442</v>
      </c>
      <c r="Z33" s="312">
        <v>-721.47897435897437</v>
      </c>
      <c r="AA33" s="298">
        <v>-392128</v>
      </c>
      <c r="AB33" s="312">
        <v>-1214.0185758513933</v>
      </c>
      <c r="AC33" s="298">
        <v>-1713837</v>
      </c>
      <c r="AD33" s="312">
        <v>-1184.4070490670351</v>
      </c>
      <c r="AE33" s="298">
        <v>-3179311</v>
      </c>
      <c r="AF33" s="312">
        <v>-373.42154099130846</v>
      </c>
      <c r="AG33" s="298">
        <v>0</v>
      </c>
      <c r="AH33" s="312" t="e">
        <v>#DIV/0!</v>
      </c>
      <c r="AI33" s="298">
        <v>-379837</v>
      </c>
      <c r="AJ33" s="312">
        <v>-335.54505300353355</v>
      </c>
      <c r="AK33" s="298">
        <v>-517888</v>
      </c>
      <c r="AL33" s="312">
        <v>-379.12737920937042</v>
      </c>
      <c r="AM33" s="298">
        <v>-952691</v>
      </c>
      <c r="AN33" s="312">
        <v>-609.52719129878437</v>
      </c>
      <c r="AO33" s="298">
        <v>-1923569</v>
      </c>
      <c r="AP33" s="312">
        <v>-1705.2916666666667</v>
      </c>
      <c r="AQ33" s="298">
        <v>-1923569</v>
      </c>
      <c r="AR33" s="312">
        <v>-1705.2916666666667</v>
      </c>
      <c r="AS33" s="298">
        <v>-521889</v>
      </c>
      <c r="AT33" s="312">
        <v>-254.95310210063508</v>
      </c>
      <c r="AU33" s="298">
        <v>-1282206</v>
      </c>
      <c r="AV33" s="312">
        <v>-853.09780439121755</v>
      </c>
      <c r="AW33" s="298">
        <v>-1505645</v>
      </c>
      <c r="AX33" s="312">
        <v>-677.91310220621347</v>
      </c>
      <c r="AY33" s="298">
        <v>-574723</v>
      </c>
      <c r="AZ33" s="312">
        <v>-1365.1377672209026</v>
      </c>
      <c r="BA33" s="298">
        <v>-43526</v>
      </c>
      <c r="BB33" s="312">
        <v>-116.37967914438502</v>
      </c>
      <c r="BC33" s="298">
        <v>-1152914</v>
      </c>
      <c r="BD33" s="312">
        <v>-603.61989528795812</v>
      </c>
      <c r="BE33" s="298">
        <v>-705328</v>
      </c>
      <c r="BF33" s="312">
        <v>-664.77662582469372</v>
      </c>
      <c r="BG33" s="298">
        <v>-775282</v>
      </c>
      <c r="BH33" s="312">
        <v>-862.38264738598446</v>
      </c>
      <c r="BI33" s="298">
        <v>-574723</v>
      </c>
      <c r="BJ33" s="312">
        <v>-1365.1377672209026</v>
      </c>
      <c r="BM33" s="555" t="s">
        <v>98</v>
      </c>
      <c r="BN33" s="555" t="s">
        <v>97</v>
      </c>
    </row>
    <row r="34" spans="1:66" x14ac:dyDescent="0.15">
      <c r="A34" s="296">
        <v>27</v>
      </c>
      <c r="B34" s="311" t="s">
        <v>27</v>
      </c>
      <c r="C34" s="298">
        <v>-142</v>
      </c>
      <c r="D34" s="312">
        <v>-4.7333333333333334</v>
      </c>
      <c r="E34" s="298">
        <v>-332296</v>
      </c>
      <c r="F34" s="312">
        <v>-515.18759689922479</v>
      </c>
      <c r="G34" s="298">
        <v>-335459</v>
      </c>
      <c r="H34" s="312">
        <v>-254.32827899924186</v>
      </c>
      <c r="I34" s="298">
        <v>-275256</v>
      </c>
      <c r="J34" s="312">
        <v>-114.59450457951706</v>
      </c>
      <c r="K34" s="298">
        <v>-704921</v>
      </c>
      <c r="L34" s="312">
        <v>-146.24917012448134</v>
      </c>
      <c r="M34" s="298">
        <v>-196</v>
      </c>
      <c r="N34" s="312">
        <v>-8.5217391304347831</v>
      </c>
      <c r="O34" s="298">
        <v>-136155</v>
      </c>
      <c r="P34" s="312">
        <v>-201.41272189349112</v>
      </c>
      <c r="Q34" s="298">
        <v>-473527</v>
      </c>
      <c r="R34" s="312">
        <v>-328.83819444444447</v>
      </c>
      <c r="S34" s="298">
        <v>-1171578</v>
      </c>
      <c r="T34" s="312">
        <v>-387.68299139642619</v>
      </c>
      <c r="U34" s="298">
        <v>-513717</v>
      </c>
      <c r="V34" s="312">
        <v>-146.39982901111426</v>
      </c>
      <c r="W34" s="298">
        <v>-44203</v>
      </c>
      <c r="X34" s="312">
        <v>-1262.9428571428571</v>
      </c>
      <c r="Y34" s="298">
        <v>-755615</v>
      </c>
      <c r="Z34" s="312">
        <v>-774.98974358974363</v>
      </c>
      <c r="AA34" s="298">
        <v>-94853</v>
      </c>
      <c r="AB34" s="312">
        <v>-293.6625386996904</v>
      </c>
      <c r="AC34" s="298">
        <v>-776864</v>
      </c>
      <c r="AD34" s="312">
        <v>-536.87906012439532</v>
      </c>
      <c r="AE34" s="298">
        <v>-1118051</v>
      </c>
      <c r="AF34" s="312">
        <v>-131.31912144702844</v>
      </c>
      <c r="AG34" s="298">
        <v>0</v>
      </c>
      <c r="AH34" s="312" t="e">
        <v>#DIV/0!</v>
      </c>
      <c r="AI34" s="298">
        <v>-329192</v>
      </c>
      <c r="AJ34" s="312">
        <v>-290.80565371024733</v>
      </c>
      <c r="AK34" s="298">
        <v>-229688</v>
      </c>
      <c r="AL34" s="312">
        <v>-168.14641288433381</v>
      </c>
      <c r="AM34" s="298">
        <v>-473951</v>
      </c>
      <c r="AN34" s="312">
        <v>-303.23160588611643</v>
      </c>
      <c r="AO34" s="298">
        <v>-301118</v>
      </c>
      <c r="AP34" s="312">
        <v>-266.94858156028369</v>
      </c>
      <c r="AQ34" s="298">
        <v>-301118</v>
      </c>
      <c r="AR34" s="312">
        <v>-266.94858156028369</v>
      </c>
      <c r="AS34" s="298">
        <v>-805043</v>
      </c>
      <c r="AT34" s="312">
        <v>-393.27943331704932</v>
      </c>
      <c r="AU34" s="298">
        <v>-239984</v>
      </c>
      <c r="AV34" s="312">
        <v>-159.66999334664004</v>
      </c>
      <c r="AW34" s="298">
        <v>-1145911</v>
      </c>
      <c r="AX34" s="312">
        <v>-515.94371904547506</v>
      </c>
      <c r="AY34" s="298">
        <v>-27879</v>
      </c>
      <c r="AZ34" s="312">
        <v>-66.220902612826606</v>
      </c>
      <c r="BA34" s="298">
        <v>-240227</v>
      </c>
      <c r="BB34" s="312">
        <v>-642.31818181818187</v>
      </c>
      <c r="BC34" s="298">
        <v>-937176</v>
      </c>
      <c r="BD34" s="312">
        <v>-490.66806282722513</v>
      </c>
      <c r="BE34" s="298">
        <v>-138223</v>
      </c>
      <c r="BF34" s="312">
        <v>-130.27615457115928</v>
      </c>
      <c r="BG34" s="298">
        <v>-460960</v>
      </c>
      <c r="BH34" s="312">
        <v>-512.74749721913236</v>
      </c>
      <c r="BI34" s="298">
        <v>-27879</v>
      </c>
      <c r="BJ34" s="312">
        <v>-66.220902612826606</v>
      </c>
      <c r="BM34" s="556"/>
      <c r="BN34" s="556"/>
    </row>
    <row r="35" spans="1:66" x14ac:dyDescent="0.15">
      <c r="A35" s="304">
        <v>28</v>
      </c>
      <c r="B35" s="313" t="s">
        <v>26</v>
      </c>
      <c r="C35" s="298">
        <v>-142</v>
      </c>
      <c r="D35" s="312">
        <v>-4.7333333333333334</v>
      </c>
      <c r="E35" s="298">
        <v>-409345</v>
      </c>
      <c r="F35" s="312">
        <v>-634.64341085271315</v>
      </c>
      <c r="G35" s="298">
        <v>-481709</v>
      </c>
      <c r="H35" s="312">
        <v>-365.20773313115996</v>
      </c>
      <c r="I35" s="298">
        <v>-2114675</v>
      </c>
      <c r="J35" s="312">
        <v>-880.38093255620322</v>
      </c>
      <c r="K35" s="298">
        <v>-2226955</v>
      </c>
      <c r="L35" s="312">
        <v>-462.02385892116183</v>
      </c>
      <c r="M35" s="298">
        <v>-196</v>
      </c>
      <c r="N35" s="312">
        <v>-8.5217391304347831</v>
      </c>
      <c r="O35" s="298">
        <v>-245962</v>
      </c>
      <c r="P35" s="312">
        <v>-363.8491124260355</v>
      </c>
      <c r="Q35" s="298">
        <v>-1272900</v>
      </c>
      <c r="R35" s="312">
        <v>-883.95833333333337</v>
      </c>
      <c r="S35" s="298">
        <v>-2765512</v>
      </c>
      <c r="T35" s="312">
        <v>-915.12640635340836</v>
      </c>
      <c r="U35" s="298">
        <v>-5761212</v>
      </c>
      <c r="V35" s="312">
        <v>-1641.8387004844685</v>
      </c>
      <c r="W35" s="298">
        <v>-44203</v>
      </c>
      <c r="X35" s="312">
        <v>-1262.9428571428571</v>
      </c>
      <c r="Y35" s="298">
        <v>-1448669</v>
      </c>
      <c r="Z35" s="312">
        <v>-1485.814358974359</v>
      </c>
      <c r="AA35" s="298">
        <v>-484871</v>
      </c>
      <c r="AB35" s="312">
        <v>-1501.1486068111456</v>
      </c>
      <c r="AC35" s="298">
        <v>-2484170</v>
      </c>
      <c r="AD35" s="312">
        <v>-1716.7726330338633</v>
      </c>
      <c r="AE35" s="298">
        <v>-4027767</v>
      </c>
      <c r="AF35" s="312">
        <v>-473.07575757575756</v>
      </c>
      <c r="AG35" s="298">
        <v>0</v>
      </c>
      <c r="AH35" s="312" t="e">
        <v>#DIV/0!</v>
      </c>
      <c r="AI35" s="298">
        <v>-688700</v>
      </c>
      <c r="AJ35" s="312">
        <v>-608.39222614840992</v>
      </c>
      <c r="AK35" s="298">
        <v>-740020</v>
      </c>
      <c r="AL35" s="312">
        <v>-541.74231332357249</v>
      </c>
      <c r="AM35" s="298">
        <v>-1416792</v>
      </c>
      <c r="AN35" s="312">
        <v>-906.45681381957775</v>
      </c>
      <c r="AO35" s="298">
        <v>-2224462</v>
      </c>
      <c r="AP35" s="312">
        <v>-1972.0407801418439</v>
      </c>
      <c r="AQ35" s="298">
        <v>-2224462</v>
      </c>
      <c r="AR35" s="312">
        <v>-1972.0407801418439</v>
      </c>
      <c r="AS35" s="298">
        <v>-1299052</v>
      </c>
      <c r="AT35" s="312">
        <v>-634.61260381045429</v>
      </c>
      <c r="AU35" s="298">
        <v>-1495102</v>
      </c>
      <c r="AV35" s="312">
        <v>-994.74517631403864</v>
      </c>
      <c r="AW35" s="298">
        <v>-2633829</v>
      </c>
      <c r="AX35" s="312">
        <v>-1185.8752814047725</v>
      </c>
      <c r="AY35" s="298">
        <v>-598298</v>
      </c>
      <c r="AZ35" s="312">
        <v>-1421.1353919239905</v>
      </c>
      <c r="BA35" s="298">
        <v>-279423</v>
      </c>
      <c r="BB35" s="312">
        <v>-747.12032085561498</v>
      </c>
      <c r="BC35" s="298">
        <v>-2046128</v>
      </c>
      <c r="BD35" s="312">
        <v>-1071.2712041884818</v>
      </c>
      <c r="BE35" s="298">
        <v>-825397</v>
      </c>
      <c r="BF35" s="312">
        <v>-777.94250706880302</v>
      </c>
      <c r="BG35" s="298">
        <v>-1218130</v>
      </c>
      <c r="BH35" s="312">
        <v>-1354.9833147942159</v>
      </c>
      <c r="BI35" s="298">
        <v>-598298</v>
      </c>
      <c r="BJ35" s="312">
        <v>-1421.1353919239905</v>
      </c>
      <c r="BM35" s="556"/>
      <c r="BN35" s="556"/>
    </row>
    <row r="36" spans="1:66" x14ac:dyDescent="0.15">
      <c r="A36" s="304">
        <v>29</v>
      </c>
      <c r="B36" s="313" t="s">
        <v>25</v>
      </c>
      <c r="C36" s="315">
        <v>-296979</v>
      </c>
      <c r="D36" s="316">
        <v>-9899.2999999999993</v>
      </c>
      <c r="E36" s="315">
        <v>18260</v>
      </c>
      <c r="F36" s="316">
        <v>28.310077519379846</v>
      </c>
      <c r="G36" s="315">
        <v>-358300</v>
      </c>
      <c r="H36" s="316">
        <v>-271.64518574677788</v>
      </c>
      <c r="I36" s="315">
        <v>4190513</v>
      </c>
      <c r="J36" s="316">
        <v>1744.5932556203163</v>
      </c>
      <c r="K36" s="315">
        <v>5499165</v>
      </c>
      <c r="L36" s="316">
        <v>1140.905601659751</v>
      </c>
      <c r="M36" s="315">
        <v>-238280</v>
      </c>
      <c r="N36" s="316">
        <v>-10360</v>
      </c>
      <c r="O36" s="315">
        <v>1078714</v>
      </c>
      <c r="P36" s="316">
        <v>1595.7307692307693</v>
      </c>
      <c r="Q36" s="315">
        <v>1323944</v>
      </c>
      <c r="R36" s="316">
        <v>919.40555555555557</v>
      </c>
      <c r="S36" s="315">
        <v>5535294</v>
      </c>
      <c r="T36" s="316">
        <v>1831.6657842488419</v>
      </c>
      <c r="U36" s="315">
        <v>7035131</v>
      </c>
      <c r="V36" s="316">
        <v>2004.8820176688516</v>
      </c>
      <c r="W36" s="315">
        <v>-582776</v>
      </c>
      <c r="X36" s="316">
        <v>-16650.742857142857</v>
      </c>
      <c r="Y36" s="315">
        <v>-469105</v>
      </c>
      <c r="Z36" s="316">
        <v>-481.13333333333333</v>
      </c>
      <c r="AA36" s="315">
        <v>571471</v>
      </c>
      <c r="AB36" s="316">
        <v>1769.2600619195046</v>
      </c>
      <c r="AC36" s="315">
        <v>3854187</v>
      </c>
      <c r="AD36" s="316">
        <v>2663.5708362128544</v>
      </c>
      <c r="AE36" s="315">
        <v>8282563</v>
      </c>
      <c r="AF36" s="316">
        <v>972.81688982851779</v>
      </c>
      <c r="AG36" s="315">
        <v>0</v>
      </c>
      <c r="AH36" s="316" t="e">
        <v>#DIV/0!</v>
      </c>
      <c r="AI36" s="315">
        <v>1330428</v>
      </c>
      <c r="AJ36" s="316">
        <v>1175.2897526501768</v>
      </c>
      <c r="AK36" s="315">
        <v>3673564</v>
      </c>
      <c r="AL36" s="316">
        <v>2689.285505124451</v>
      </c>
      <c r="AM36" s="315">
        <v>2422556</v>
      </c>
      <c r="AN36" s="316">
        <v>1549.9398592450416</v>
      </c>
      <c r="AO36" s="315">
        <v>4674073</v>
      </c>
      <c r="AP36" s="316">
        <v>4143.6817375886521</v>
      </c>
      <c r="AQ36" s="315">
        <v>4674073</v>
      </c>
      <c r="AR36" s="316">
        <v>4143.6817375886521</v>
      </c>
      <c r="AS36" s="315">
        <v>4685408</v>
      </c>
      <c r="AT36" s="316">
        <v>2288.914509037616</v>
      </c>
      <c r="AU36" s="315">
        <v>4448512</v>
      </c>
      <c r="AV36" s="316">
        <v>2959.7551563539587</v>
      </c>
      <c r="AW36" s="315">
        <v>2381549</v>
      </c>
      <c r="AX36" s="316">
        <v>1072.2868077442592</v>
      </c>
      <c r="AY36" s="315">
        <v>1684962</v>
      </c>
      <c r="AZ36" s="316">
        <v>4002.2850356294539</v>
      </c>
      <c r="BA36" s="315">
        <v>-206899</v>
      </c>
      <c r="BB36" s="316">
        <v>-553.20588235294122</v>
      </c>
      <c r="BC36" s="315">
        <v>2271392</v>
      </c>
      <c r="BD36" s="316">
        <v>1189.2104712041885</v>
      </c>
      <c r="BE36" s="315">
        <v>1503440</v>
      </c>
      <c r="BF36" s="316">
        <v>1417.0028275212064</v>
      </c>
      <c r="BG36" s="315">
        <v>1462299</v>
      </c>
      <c r="BH36" s="316">
        <v>1626.5839822024473</v>
      </c>
      <c r="BI36" s="315">
        <v>1684962</v>
      </c>
      <c r="BJ36" s="316">
        <v>4002.2850356294539</v>
      </c>
      <c r="BM36" s="556" t="s">
        <v>437</v>
      </c>
      <c r="BN36" s="556"/>
    </row>
    <row r="37" spans="1:66" x14ac:dyDescent="0.15">
      <c r="A37" s="296">
        <v>30</v>
      </c>
      <c r="B37" s="311" t="s">
        <v>24</v>
      </c>
      <c r="C37" s="298">
        <v>0</v>
      </c>
      <c r="D37" s="312">
        <v>0</v>
      </c>
      <c r="E37" s="298">
        <v>0</v>
      </c>
      <c r="F37" s="312">
        <v>0</v>
      </c>
      <c r="G37" s="298">
        <v>0</v>
      </c>
      <c r="H37" s="312">
        <v>0</v>
      </c>
      <c r="I37" s="298">
        <v>0</v>
      </c>
      <c r="J37" s="312">
        <v>0</v>
      </c>
      <c r="K37" s="298">
        <v>0</v>
      </c>
      <c r="L37" s="312">
        <v>0</v>
      </c>
      <c r="M37" s="298">
        <v>0</v>
      </c>
      <c r="N37" s="312">
        <v>0</v>
      </c>
      <c r="O37" s="298">
        <v>19988</v>
      </c>
      <c r="P37" s="312">
        <v>29.568047337278106</v>
      </c>
      <c r="Q37" s="298">
        <v>0</v>
      </c>
      <c r="R37" s="312">
        <v>0</v>
      </c>
      <c r="S37" s="298">
        <v>0</v>
      </c>
      <c r="T37" s="312">
        <v>0</v>
      </c>
      <c r="U37" s="298">
        <v>0</v>
      </c>
      <c r="V37" s="312">
        <v>0</v>
      </c>
      <c r="W37" s="298">
        <v>0</v>
      </c>
      <c r="X37" s="312">
        <v>0</v>
      </c>
      <c r="Y37" s="298">
        <v>0</v>
      </c>
      <c r="Z37" s="312">
        <v>0</v>
      </c>
      <c r="AA37" s="298">
        <v>0</v>
      </c>
      <c r="AB37" s="312">
        <v>0</v>
      </c>
      <c r="AC37" s="298">
        <v>0</v>
      </c>
      <c r="AD37" s="312">
        <v>0</v>
      </c>
      <c r="AE37" s="298">
        <v>0</v>
      </c>
      <c r="AF37" s="312">
        <v>0</v>
      </c>
      <c r="AG37" s="298">
        <v>0</v>
      </c>
      <c r="AH37" s="312" t="e">
        <v>#DIV/0!</v>
      </c>
      <c r="AI37" s="298">
        <v>0</v>
      </c>
      <c r="AJ37" s="312">
        <v>0</v>
      </c>
      <c r="AK37" s="298">
        <v>0</v>
      </c>
      <c r="AL37" s="312">
        <v>0</v>
      </c>
      <c r="AM37" s="298">
        <v>0</v>
      </c>
      <c r="AN37" s="312">
        <v>0</v>
      </c>
      <c r="AO37" s="298">
        <v>0</v>
      </c>
      <c r="AP37" s="312">
        <v>0</v>
      </c>
      <c r="AQ37" s="298">
        <v>0</v>
      </c>
      <c r="AR37" s="312">
        <v>0</v>
      </c>
      <c r="AS37" s="298">
        <v>0</v>
      </c>
      <c r="AT37" s="312">
        <v>0</v>
      </c>
      <c r="AU37" s="298">
        <v>0</v>
      </c>
      <c r="AV37" s="312">
        <v>0</v>
      </c>
      <c r="AW37" s="298">
        <v>0</v>
      </c>
      <c r="AX37" s="312">
        <v>0</v>
      </c>
      <c r="AY37" s="298">
        <v>0</v>
      </c>
      <c r="AZ37" s="312">
        <v>0</v>
      </c>
      <c r="BA37" s="298">
        <v>0</v>
      </c>
      <c r="BB37" s="312">
        <v>0</v>
      </c>
      <c r="BC37" s="298">
        <v>235613</v>
      </c>
      <c r="BD37" s="312">
        <v>123.35759162303665</v>
      </c>
      <c r="BE37" s="298">
        <v>0</v>
      </c>
      <c r="BF37" s="312">
        <v>0</v>
      </c>
      <c r="BG37" s="298">
        <v>0</v>
      </c>
      <c r="BH37" s="312">
        <v>0</v>
      </c>
      <c r="BI37" s="298">
        <v>0</v>
      </c>
      <c r="BJ37" s="312">
        <v>0</v>
      </c>
      <c r="BM37" s="557">
        <v>1</v>
      </c>
      <c r="BN37" s="558">
        <v>1</v>
      </c>
    </row>
    <row r="38" spans="1:66" x14ac:dyDescent="0.15">
      <c r="A38" s="304">
        <v>31</v>
      </c>
      <c r="B38" s="313" t="s">
        <v>23</v>
      </c>
      <c r="C38" s="298">
        <v>0</v>
      </c>
      <c r="D38" s="312">
        <v>0</v>
      </c>
      <c r="E38" s="298">
        <v>0</v>
      </c>
      <c r="F38" s="312">
        <v>0</v>
      </c>
      <c r="G38" s="298">
        <v>0</v>
      </c>
      <c r="H38" s="312">
        <v>0</v>
      </c>
      <c r="I38" s="298">
        <v>0</v>
      </c>
      <c r="J38" s="312">
        <v>0</v>
      </c>
      <c r="K38" s="298">
        <v>0</v>
      </c>
      <c r="L38" s="312">
        <v>0</v>
      </c>
      <c r="M38" s="298">
        <v>0</v>
      </c>
      <c r="N38" s="312">
        <v>0</v>
      </c>
      <c r="O38" s="298">
        <v>0</v>
      </c>
      <c r="P38" s="312">
        <v>0</v>
      </c>
      <c r="Q38" s="298">
        <v>0</v>
      </c>
      <c r="R38" s="312">
        <v>0</v>
      </c>
      <c r="S38" s="298">
        <v>0</v>
      </c>
      <c r="T38" s="312">
        <v>0</v>
      </c>
      <c r="U38" s="298">
        <v>0</v>
      </c>
      <c r="V38" s="312">
        <v>0</v>
      </c>
      <c r="W38" s="298">
        <v>0</v>
      </c>
      <c r="X38" s="312">
        <v>0</v>
      </c>
      <c r="Y38" s="298">
        <v>0</v>
      </c>
      <c r="Z38" s="312">
        <v>0</v>
      </c>
      <c r="AA38" s="298">
        <v>0</v>
      </c>
      <c r="AB38" s="312">
        <v>0</v>
      </c>
      <c r="AC38" s="298">
        <v>0</v>
      </c>
      <c r="AD38" s="312">
        <v>0</v>
      </c>
      <c r="AE38" s="298">
        <v>0</v>
      </c>
      <c r="AF38" s="312">
        <v>0</v>
      </c>
      <c r="AG38" s="298">
        <v>0</v>
      </c>
      <c r="AH38" s="312" t="e">
        <v>#DIV/0!</v>
      </c>
      <c r="AI38" s="298">
        <v>0</v>
      </c>
      <c r="AJ38" s="312">
        <v>0</v>
      </c>
      <c r="AK38" s="298">
        <v>0</v>
      </c>
      <c r="AL38" s="312">
        <v>0</v>
      </c>
      <c r="AM38" s="298">
        <v>0</v>
      </c>
      <c r="AN38" s="312">
        <v>0</v>
      </c>
      <c r="AO38" s="298">
        <v>3148000</v>
      </c>
      <c r="AP38" s="312">
        <v>2790.7801418439717</v>
      </c>
      <c r="AQ38" s="298">
        <v>3148000</v>
      </c>
      <c r="AR38" s="312">
        <v>2790.7801418439717</v>
      </c>
      <c r="AS38" s="298">
        <v>0</v>
      </c>
      <c r="AT38" s="312">
        <v>0</v>
      </c>
      <c r="AU38" s="298">
        <v>0</v>
      </c>
      <c r="AV38" s="312">
        <v>0</v>
      </c>
      <c r="AW38" s="298">
        <v>0</v>
      </c>
      <c r="AX38" s="312">
        <v>0</v>
      </c>
      <c r="AY38" s="298">
        <v>29753</v>
      </c>
      <c r="AZ38" s="312">
        <v>70.672209026128272</v>
      </c>
      <c r="BA38" s="298">
        <v>0</v>
      </c>
      <c r="BB38" s="312">
        <v>0</v>
      </c>
      <c r="BC38" s="298">
        <v>429746</v>
      </c>
      <c r="BD38" s="312">
        <v>224.99790575916231</v>
      </c>
      <c r="BE38" s="298">
        <v>0</v>
      </c>
      <c r="BF38" s="312">
        <v>0</v>
      </c>
      <c r="BG38" s="298">
        <v>0</v>
      </c>
      <c r="BH38" s="312">
        <v>0</v>
      </c>
      <c r="BI38" s="298">
        <v>29753</v>
      </c>
      <c r="BJ38" s="312">
        <v>70.672209026128272</v>
      </c>
      <c r="BM38" s="559">
        <v>50</v>
      </c>
      <c r="BN38" s="550">
        <v>2</v>
      </c>
    </row>
    <row r="39" spans="1:66" x14ac:dyDescent="0.15">
      <c r="A39" s="304">
        <v>32</v>
      </c>
      <c r="B39" s="313" t="s">
        <v>415</v>
      </c>
      <c r="C39" s="315">
        <v>-296979</v>
      </c>
      <c r="D39" s="316">
        <v>-9899.2999999999993</v>
      </c>
      <c r="E39" s="315">
        <v>18260</v>
      </c>
      <c r="F39" s="316">
        <v>28.310077519379846</v>
      </c>
      <c r="G39" s="315">
        <v>-358300</v>
      </c>
      <c r="H39" s="316">
        <v>-271.64518574677788</v>
      </c>
      <c r="I39" s="315">
        <v>4190513</v>
      </c>
      <c r="J39" s="316">
        <v>1744.5932556203163</v>
      </c>
      <c r="K39" s="315">
        <v>5499165</v>
      </c>
      <c r="L39" s="316">
        <v>1140.905601659751</v>
      </c>
      <c r="M39" s="315">
        <v>-238280</v>
      </c>
      <c r="N39" s="316">
        <v>-10360</v>
      </c>
      <c r="O39" s="315">
        <v>1098702</v>
      </c>
      <c r="P39" s="316">
        <v>1625.2988165680474</v>
      </c>
      <c r="Q39" s="315">
        <v>1323944</v>
      </c>
      <c r="R39" s="316">
        <v>919.40555555555557</v>
      </c>
      <c r="S39" s="315">
        <v>5535294</v>
      </c>
      <c r="T39" s="316">
        <v>1831.6657842488419</v>
      </c>
      <c r="U39" s="315">
        <v>7035131</v>
      </c>
      <c r="V39" s="316">
        <v>2004.8820176688516</v>
      </c>
      <c r="W39" s="315">
        <v>-582776</v>
      </c>
      <c r="X39" s="316">
        <v>-16650.742857142857</v>
      </c>
      <c r="Y39" s="315">
        <v>-469105</v>
      </c>
      <c r="Z39" s="316">
        <v>-481.13333333333333</v>
      </c>
      <c r="AA39" s="315">
        <v>571471</v>
      </c>
      <c r="AB39" s="316">
        <v>1769.2600619195046</v>
      </c>
      <c r="AC39" s="315">
        <v>3854187</v>
      </c>
      <c r="AD39" s="316">
        <v>2663.5708362128544</v>
      </c>
      <c r="AE39" s="315">
        <v>8282563</v>
      </c>
      <c r="AF39" s="316">
        <v>972.81688982851779</v>
      </c>
      <c r="AG39" s="315">
        <v>0</v>
      </c>
      <c r="AH39" s="316" t="e">
        <v>#DIV/0!</v>
      </c>
      <c r="AI39" s="315">
        <v>1330428</v>
      </c>
      <c r="AJ39" s="316">
        <v>1175.2897526501768</v>
      </c>
      <c r="AK39" s="315">
        <v>3673564</v>
      </c>
      <c r="AL39" s="316">
        <v>2689.285505124451</v>
      </c>
      <c r="AM39" s="315">
        <v>2422556</v>
      </c>
      <c r="AN39" s="316">
        <v>1549.9398592450416</v>
      </c>
      <c r="AO39" s="315">
        <v>1526073</v>
      </c>
      <c r="AP39" s="316">
        <v>1352.9015957446809</v>
      </c>
      <c r="AQ39" s="315">
        <v>1526073</v>
      </c>
      <c r="AR39" s="316">
        <v>1352.9015957446809</v>
      </c>
      <c r="AS39" s="315">
        <v>4685408</v>
      </c>
      <c r="AT39" s="316">
        <v>2288.914509037616</v>
      </c>
      <c r="AU39" s="315">
        <v>4448512</v>
      </c>
      <c r="AV39" s="316">
        <v>2959.7551563539587</v>
      </c>
      <c r="AW39" s="315">
        <v>2381549</v>
      </c>
      <c r="AX39" s="316">
        <v>1072.2868077442592</v>
      </c>
      <c r="AY39" s="315">
        <v>1655209</v>
      </c>
      <c r="AZ39" s="316">
        <v>3931.6128266033256</v>
      </c>
      <c r="BA39" s="315">
        <v>-206899</v>
      </c>
      <c r="BB39" s="316">
        <v>-553.20588235294122</v>
      </c>
      <c r="BC39" s="315">
        <v>2077259</v>
      </c>
      <c r="BD39" s="316">
        <v>1087.5701570680628</v>
      </c>
      <c r="BE39" s="315">
        <v>1503440</v>
      </c>
      <c r="BF39" s="316">
        <v>1417.0028275212064</v>
      </c>
      <c r="BG39" s="315">
        <v>1462299</v>
      </c>
      <c r="BH39" s="316">
        <v>1626.5839822024473</v>
      </c>
      <c r="BI39" s="315">
        <v>1655209</v>
      </c>
      <c r="BJ39" s="316">
        <v>3931.6128266033256</v>
      </c>
      <c r="BM39" s="559">
        <v>100</v>
      </c>
      <c r="BN39" s="550">
        <v>3</v>
      </c>
    </row>
    <row r="40" spans="1:66" x14ac:dyDescent="0.15">
      <c r="A40" s="296">
        <v>33</v>
      </c>
      <c r="B40" s="311" t="s">
        <v>22</v>
      </c>
      <c r="C40" s="298">
        <v>0</v>
      </c>
      <c r="D40" s="312">
        <v>0</v>
      </c>
      <c r="E40" s="298">
        <v>16113127</v>
      </c>
      <c r="F40" s="312">
        <v>24981.592248062014</v>
      </c>
      <c r="G40" s="298">
        <v>20847552</v>
      </c>
      <c r="H40" s="312">
        <v>15805.573919636088</v>
      </c>
      <c r="I40" s="298">
        <v>111798349</v>
      </c>
      <c r="J40" s="312">
        <v>46543.858867610325</v>
      </c>
      <c r="K40" s="298">
        <v>223206764</v>
      </c>
      <c r="L40" s="312">
        <v>46308.457261410789</v>
      </c>
      <c r="M40" s="298">
        <v>0</v>
      </c>
      <c r="N40" s="312">
        <v>0</v>
      </c>
      <c r="O40" s="298">
        <v>8533868</v>
      </c>
      <c r="P40" s="312">
        <v>12624.065088757396</v>
      </c>
      <c r="Q40" s="298">
        <v>38732875</v>
      </c>
      <c r="R40" s="312">
        <v>26897.829861111109</v>
      </c>
      <c r="S40" s="298">
        <v>130043810</v>
      </c>
      <c r="T40" s="312">
        <v>43032.36598279285</v>
      </c>
      <c r="U40" s="298">
        <v>251760570</v>
      </c>
      <c r="V40" s="312">
        <v>71747.098888572247</v>
      </c>
      <c r="W40" s="298">
        <v>24041</v>
      </c>
      <c r="X40" s="312">
        <v>686.88571428571424</v>
      </c>
      <c r="Y40" s="298">
        <v>41280614</v>
      </c>
      <c r="Z40" s="312">
        <v>42339.091282051282</v>
      </c>
      <c r="AA40" s="298">
        <v>22047550</v>
      </c>
      <c r="AB40" s="312">
        <v>68258.668730650155</v>
      </c>
      <c r="AC40" s="298">
        <v>110216873</v>
      </c>
      <c r="AD40" s="312">
        <v>76169.228058051143</v>
      </c>
      <c r="AE40" s="298">
        <v>234179576</v>
      </c>
      <c r="AF40" s="312">
        <v>27505.235611933287</v>
      </c>
      <c r="AG40" s="298">
        <v>0</v>
      </c>
      <c r="AH40" s="312" t="e">
        <v>#DIV/0!</v>
      </c>
      <c r="AI40" s="298">
        <v>28495723</v>
      </c>
      <c r="AJ40" s="312">
        <v>25172.900176678446</v>
      </c>
      <c r="AK40" s="298">
        <v>46470332</v>
      </c>
      <c r="AL40" s="312">
        <v>34019.276720351394</v>
      </c>
      <c r="AM40" s="298">
        <v>83266592</v>
      </c>
      <c r="AN40" s="312">
        <v>53273.571337172107</v>
      </c>
      <c r="AO40" s="298">
        <v>90827091</v>
      </c>
      <c r="AP40" s="312">
        <v>80520.470744680846</v>
      </c>
      <c r="AQ40" s="298">
        <v>90827091</v>
      </c>
      <c r="AR40" s="312">
        <v>80520.470744680846</v>
      </c>
      <c r="AS40" s="298">
        <v>67053501</v>
      </c>
      <c r="AT40" s="312">
        <v>32756.961895456767</v>
      </c>
      <c r="AU40" s="298">
        <v>78473829</v>
      </c>
      <c r="AV40" s="312">
        <v>52211.463073852297</v>
      </c>
      <c r="AW40" s="298">
        <v>95835729</v>
      </c>
      <c r="AX40" s="312">
        <v>43149.810445745163</v>
      </c>
      <c r="AY40" s="298">
        <v>26493750</v>
      </c>
      <c r="AZ40" s="312">
        <v>62930.522565320665</v>
      </c>
      <c r="BA40" s="298">
        <v>14173253</v>
      </c>
      <c r="BB40" s="312">
        <v>37896.398395721924</v>
      </c>
      <c r="BC40" s="298">
        <v>74761092</v>
      </c>
      <c r="BD40" s="312">
        <v>39141.932984293191</v>
      </c>
      <c r="BE40" s="298">
        <v>37792808</v>
      </c>
      <c r="BF40" s="312">
        <v>35619.988689915175</v>
      </c>
      <c r="BG40" s="298">
        <v>52954548</v>
      </c>
      <c r="BH40" s="312">
        <v>58903.835372636262</v>
      </c>
      <c r="BI40" s="298">
        <v>26493750</v>
      </c>
      <c r="BJ40" s="312">
        <v>62930.522565320665</v>
      </c>
      <c r="BM40" s="559">
        <v>150</v>
      </c>
      <c r="BN40" s="550">
        <v>4</v>
      </c>
    </row>
    <row r="41" spans="1:66" x14ac:dyDescent="0.15">
      <c r="A41" s="296">
        <v>34</v>
      </c>
      <c r="B41" s="311" t="s">
        <v>21</v>
      </c>
      <c r="C41" s="298">
        <v>0</v>
      </c>
      <c r="D41" s="312">
        <v>0</v>
      </c>
      <c r="E41" s="298">
        <v>698748</v>
      </c>
      <c r="F41" s="312">
        <v>1083.3302325581396</v>
      </c>
      <c r="G41" s="298">
        <v>1642824</v>
      </c>
      <c r="H41" s="312">
        <v>1245.5072024260803</v>
      </c>
      <c r="I41" s="298">
        <v>2033788</v>
      </c>
      <c r="J41" s="312">
        <v>846.70607826810988</v>
      </c>
      <c r="K41" s="298">
        <v>3629050</v>
      </c>
      <c r="L41" s="312">
        <v>752.91493775933611</v>
      </c>
      <c r="M41" s="298">
        <v>0</v>
      </c>
      <c r="N41" s="312">
        <v>0</v>
      </c>
      <c r="O41" s="298">
        <v>545962</v>
      </c>
      <c r="P41" s="312">
        <v>807.63609467455626</v>
      </c>
      <c r="Q41" s="298">
        <v>1006709</v>
      </c>
      <c r="R41" s="312">
        <v>699.10347222222219</v>
      </c>
      <c r="S41" s="298">
        <v>5152090</v>
      </c>
      <c r="T41" s="312">
        <v>1704.8610191925877</v>
      </c>
      <c r="U41" s="298">
        <v>4115753</v>
      </c>
      <c r="V41" s="312">
        <v>1172.913365631234</v>
      </c>
      <c r="W41" s="298">
        <v>0</v>
      </c>
      <c r="X41" s="312">
        <v>0</v>
      </c>
      <c r="Y41" s="298">
        <v>861620</v>
      </c>
      <c r="Z41" s="312">
        <v>883.71282051282049</v>
      </c>
      <c r="AA41" s="298">
        <v>183937</v>
      </c>
      <c r="AB41" s="312">
        <v>569.46439628482972</v>
      </c>
      <c r="AC41" s="298">
        <v>2154322</v>
      </c>
      <c r="AD41" s="312">
        <v>1488.8196268140982</v>
      </c>
      <c r="AE41" s="298">
        <v>4505614</v>
      </c>
      <c r="AF41" s="312">
        <v>529.20061075875026</v>
      </c>
      <c r="AG41" s="298">
        <v>0</v>
      </c>
      <c r="AH41" s="312" t="e">
        <v>#DIV/0!</v>
      </c>
      <c r="AI41" s="298">
        <v>1161275</v>
      </c>
      <c r="AJ41" s="312">
        <v>1025.8613074204948</v>
      </c>
      <c r="AK41" s="298">
        <v>1346067</v>
      </c>
      <c r="AL41" s="312">
        <v>985.40775988286964</v>
      </c>
      <c r="AM41" s="298">
        <v>2466420</v>
      </c>
      <c r="AN41" s="312">
        <v>1578.0038387715931</v>
      </c>
      <c r="AO41" s="298">
        <v>2753835</v>
      </c>
      <c r="AP41" s="312">
        <v>2441.3430851063831</v>
      </c>
      <c r="AQ41" s="298">
        <v>2753835</v>
      </c>
      <c r="AR41" s="312">
        <v>2441.3430851063831</v>
      </c>
      <c r="AS41" s="298">
        <v>1914945</v>
      </c>
      <c r="AT41" s="312">
        <v>935.48851978505127</v>
      </c>
      <c r="AU41" s="298">
        <v>1558428</v>
      </c>
      <c r="AV41" s="312">
        <v>1036.878243512974</v>
      </c>
      <c r="AW41" s="298">
        <v>1098868</v>
      </c>
      <c r="AX41" s="312">
        <v>494.76271949572265</v>
      </c>
      <c r="AY41" s="298">
        <v>109251</v>
      </c>
      <c r="AZ41" s="312">
        <v>259.50356294536817</v>
      </c>
      <c r="BA41" s="298">
        <v>151538</v>
      </c>
      <c r="BB41" s="312">
        <v>405.18181818181819</v>
      </c>
      <c r="BC41" s="298">
        <v>1262088</v>
      </c>
      <c r="BD41" s="312">
        <v>660.77905759162309</v>
      </c>
      <c r="BE41" s="298">
        <v>1731581</v>
      </c>
      <c r="BF41" s="312">
        <v>1632.0273327049954</v>
      </c>
      <c r="BG41" s="298">
        <v>1320513</v>
      </c>
      <c r="BH41" s="312">
        <v>1468.868743047831</v>
      </c>
      <c r="BI41" s="298">
        <v>109251</v>
      </c>
      <c r="BJ41" s="312">
        <v>259.50356294536817</v>
      </c>
      <c r="BM41" s="560">
        <v>200</v>
      </c>
      <c r="BN41" s="554">
        <v>5</v>
      </c>
    </row>
    <row r="42" spans="1:66" x14ac:dyDescent="0.15">
      <c r="A42" s="296">
        <v>35</v>
      </c>
      <c r="B42" s="311" t="s">
        <v>20</v>
      </c>
      <c r="C42" s="298">
        <v>0</v>
      </c>
      <c r="D42" s="312">
        <v>0</v>
      </c>
      <c r="E42" s="298">
        <v>0</v>
      </c>
      <c r="F42" s="312">
        <v>0</v>
      </c>
      <c r="G42" s="298">
        <v>14347</v>
      </c>
      <c r="H42" s="312">
        <v>10.877179681576953</v>
      </c>
      <c r="I42" s="298">
        <v>160847</v>
      </c>
      <c r="J42" s="312">
        <v>66.963780183180688</v>
      </c>
      <c r="K42" s="298">
        <v>352554</v>
      </c>
      <c r="L42" s="312">
        <v>73.143983402489624</v>
      </c>
      <c r="M42" s="298">
        <v>0</v>
      </c>
      <c r="N42" s="312">
        <v>0</v>
      </c>
      <c r="O42" s="298">
        <v>11250</v>
      </c>
      <c r="P42" s="312">
        <v>16.642011834319526</v>
      </c>
      <c r="Q42" s="298">
        <v>287051</v>
      </c>
      <c r="R42" s="312">
        <v>199.34097222222223</v>
      </c>
      <c r="S42" s="298">
        <v>247278</v>
      </c>
      <c r="T42" s="312">
        <v>81.825943084050294</v>
      </c>
      <c r="U42" s="298">
        <v>2235015</v>
      </c>
      <c r="V42" s="312">
        <v>636.93787403818749</v>
      </c>
      <c r="W42" s="298">
        <v>0</v>
      </c>
      <c r="X42" s="312">
        <v>0</v>
      </c>
      <c r="Y42" s="298">
        <v>0</v>
      </c>
      <c r="Z42" s="312">
        <v>0</v>
      </c>
      <c r="AA42" s="298">
        <v>119853</v>
      </c>
      <c r="AB42" s="312">
        <v>371.06191950464398</v>
      </c>
      <c r="AC42" s="298">
        <v>48260</v>
      </c>
      <c r="AD42" s="312">
        <v>33.351762266758811</v>
      </c>
      <c r="AE42" s="298">
        <v>244565</v>
      </c>
      <c r="AF42" s="312">
        <v>28.725041108762039</v>
      </c>
      <c r="AG42" s="298">
        <v>0</v>
      </c>
      <c r="AH42" s="312" t="e">
        <v>#DIV/0!</v>
      </c>
      <c r="AI42" s="298">
        <v>39748</v>
      </c>
      <c r="AJ42" s="312">
        <v>35.113074204946997</v>
      </c>
      <c r="AK42" s="298">
        <v>270745</v>
      </c>
      <c r="AL42" s="312">
        <v>198.20278184480233</v>
      </c>
      <c r="AM42" s="298">
        <v>190665</v>
      </c>
      <c r="AN42" s="312">
        <v>121.98656429942419</v>
      </c>
      <c r="AO42" s="298">
        <v>91633</v>
      </c>
      <c r="AP42" s="312">
        <v>81.23492907801419</v>
      </c>
      <c r="AQ42" s="298">
        <v>91633</v>
      </c>
      <c r="AR42" s="312">
        <v>81.23492907801419</v>
      </c>
      <c r="AS42" s="298">
        <v>320313</v>
      </c>
      <c r="AT42" s="312">
        <v>156.47923790913532</v>
      </c>
      <c r="AU42" s="298">
        <v>124453</v>
      </c>
      <c r="AV42" s="312">
        <v>82.803060545575519</v>
      </c>
      <c r="AW42" s="298">
        <v>293215</v>
      </c>
      <c r="AX42" s="312">
        <v>132.01936064835661</v>
      </c>
      <c r="AY42" s="298">
        <v>81304</v>
      </c>
      <c r="AZ42" s="312">
        <v>193.12114014251782</v>
      </c>
      <c r="BA42" s="298">
        <v>143081</v>
      </c>
      <c r="BB42" s="312">
        <v>382.56951871657753</v>
      </c>
      <c r="BC42" s="298">
        <v>250050</v>
      </c>
      <c r="BD42" s="312">
        <v>130.91623036649216</v>
      </c>
      <c r="BE42" s="298">
        <v>668225</v>
      </c>
      <c r="BF42" s="312">
        <v>629.80678605089543</v>
      </c>
      <c r="BG42" s="298">
        <v>83788</v>
      </c>
      <c r="BH42" s="312">
        <v>93.201334816462733</v>
      </c>
      <c r="BI42" s="298">
        <v>81304</v>
      </c>
      <c r="BJ42" s="312">
        <v>193.12114014251782</v>
      </c>
    </row>
    <row r="43" spans="1:66" x14ac:dyDescent="0.15">
      <c r="A43" s="296">
        <v>36</v>
      </c>
      <c r="B43" s="311" t="s">
        <v>19</v>
      </c>
      <c r="C43" s="298">
        <v>0</v>
      </c>
      <c r="D43" s="312">
        <v>0</v>
      </c>
      <c r="E43" s="298">
        <v>23417</v>
      </c>
      <c r="F43" s="312">
        <v>36.305426356589145</v>
      </c>
      <c r="G43" s="298">
        <v>0</v>
      </c>
      <c r="H43" s="312">
        <v>0</v>
      </c>
      <c r="I43" s="298">
        <v>105000</v>
      </c>
      <c r="J43" s="312">
        <v>43.713572023313908</v>
      </c>
      <c r="K43" s="298">
        <v>115605</v>
      </c>
      <c r="L43" s="312">
        <v>23.984439834024897</v>
      </c>
      <c r="M43" s="298">
        <v>0</v>
      </c>
      <c r="N43" s="312">
        <v>0</v>
      </c>
      <c r="O43" s="298">
        <v>168763</v>
      </c>
      <c r="P43" s="312">
        <v>249.64940828402368</v>
      </c>
      <c r="Q43" s="298">
        <v>96333</v>
      </c>
      <c r="R43" s="312">
        <v>66.89791666666666</v>
      </c>
      <c r="S43" s="298">
        <v>104935</v>
      </c>
      <c r="T43" s="312">
        <v>34.723692918596953</v>
      </c>
      <c r="U43" s="298">
        <v>0</v>
      </c>
      <c r="V43" s="312">
        <v>0</v>
      </c>
      <c r="W43" s="298">
        <v>0</v>
      </c>
      <c r="X43" s="312">
        <v>0</v>
      </c>
      <c r="Y43" s="298">
        <v>86291</v>
      </c>
      <c r="Z43" s="312">
        <v>88.503589743589743</v>
      </c>
      <c r="AA43" s="298">
        <v>0</v>
      </c>
      <c r="AB43" s="312">
        <v>0</v>
      </c>
      <c r="AC43" s="298">
        <v>353148</v>
      </c>
      <c r="AD43" s="312">
        <v>244.05528680027643</v>
      </c>
      <c r="AE43" s="298">
        <v>109787</v>
      </c>
      <c r="AF43" s="312">
        <v>12.894879022786</v>
      </c>
      <c r="AG43" s="298">
        <v>0</v>
      </c>
      <c r="AH43" s="312" t="e">
        <v>#DIV/0!</v>
      </c>
      <c r="AI43" s="298">
        <v>913242</v>
      </c>
      <c r="AJ43" s="312">
        <v>806.75088339222611</v>
      </c>
      <c r="AK43" s="298">
        <v>413104</v>
      </c>
      <c r="AL43" s="312">
        <v>302.41874084919471</v>
      </c>
      <c r="AM43" s="298">
        <v>614117</v>
      </c>
      <c r="AN43" s="312">
        <v>392.90914907229688</v>
      </c>
      <c r="AO43" s="298">
        <v>41248</v>
      </c>
      <c r="AP43" s="312">
        <v>36.567375886524822</v>
      </c>
      <c r="AQ43" s="298">
        <v>41248</v>
      </c>
      <c r="AR43" s="312">
        <v>36.567375886524822</v>
      </c>
      <c r="AS43" s="298">
        <v>1107470</v>
      </c>
      <c r="AT43" s="312">
        <v>541.02100635075726</v>
      </c>
      <c r="AU43" s="298">
        <v>282217</v>
      </c>
      <c r="AV43" s="312">
        <v>187.76912840984699</v>
      </c>
      <c r="AW43" s="298">
        <v>0</v>
      </c>
      <c r="AX43" s="312">
        <v>0</v>
      </c>
      <c r="AY43" s="298">
        <v>4486</v>
      </c>
      <c r="AZ43" s="312">
        <v>10.655581947743467</v>
      </c>
      <c r="BA43" s="298">
        <v>0</v>
      </c>
      <c r="BB43" s="312">
        <v>0</v>
      </c>
      <c r="BC43" s="298">
        <v>460679</v>
      </c>
      <c r="BD43" s="312">
        <v>241.1931937172775</v>
      </c>
      <c r="BE43" s="298">
        <v>672408</v>
      </c>
      <c r="BF43" s="312">
        <v>633.74929311969845</v>
      </c>
      <c r="BG43" s="298">
        <v>0</v>
      </c>
      <c r="BH43" s="312">
        <v>0</v>
      </c>
      <c r="BI43" s="298">
        <v>4486</v>
      </c>
      <c r="BJ43" s="312">
        <v>10.655581947743467</v>
      </c>
    </row>
    <row r="44" spans="1:66" x14ac:dyDescent="0.15">
      <c r="A44" s="296">
        <v>37</v>
      </c>
      <c r="B44" s="311" t="s">
        <v>18</v>
      </c>
      <c r="C44" s="298">
        <v>0</v>
      </c>
      <c r="D44" s="312">
        <v>0</v>
      </c>
      <c r="E44" s="298">
        <v>345889</v>
      </c>
      <c r="F44" s="312">
        <v>536.262015503876</v>
      </c>
      <c r="G44" s="298">
        <v>883759</v>
      </c>
      <c r="H44" s="312">
        <v>670.02198635329796</v>
      </c>
      <c r="I44" s="298">
        <v>1591869</v>
      </c>
      <c r="J44" s="312">
        <v>662.72647793505416</v>
      </c>
      <c r="K44" s="298">
        <v>2616186</v>
      </c>
      <c r="L44" s="312">
        <v>542.77717842323648</v>
      </c>
      <c r="M44" s="298">
        <v>0</v>
      </c>
      <c r="N44" s="312">
        <v>0</v>
      </c>
      <c r="O44" s="298">
        <v>433480</v>
      </c>
      <c r="P44" s="312">
        <v>641.24260355029583</v>
      </c>
      <c r="Q44" s="298">
        <v>130500</v>
      </c>
      <c r="R44" s="312">
        <v>90.625</v>
      </c>
      <c r="S44" s="298">
        <v>447549</v>
      </c>
      <c r="T44" s="312">
        <v>148.0969556585043</v>
      </c>
      <c r="U44" s="298">
        <v>863002</v>
      </c>
      <c r="V44" s="312">
        <v>245.93958392704474</v>
      </c>
      <c r="W44" s="298">
        <v>0</v>
      </c>
      <c r="X44" s="312">
        <v>0</v>
      </c>
      <c r="Y44" s="298">
        <v>546711</v>
      </c>
      <c r="Z44" s="312">
        <v>560.72923076923075</v>
      </c>
      <c r="AA44" s="298">
        <v>0</v>
      </c>
      <c r="AB44" s="312">
        <v>0</v>
      </c>
      <c r="AC44" s="298">
        <v>16297</v>
      </c>
      <c r="AD44" s="312">
        <v>11.262612301313062</v>
      </c>
      <c r="AE44" s="298">
        <v>223245</v>
      </c>
      <c r="AF44" s="312">
        <v>26.220930232558139</v>
      </c>
      <c r="AG44" s="298">
        <v>0</v>
      </c>
      <c r="AH44" s="312" t="e">
        <v>#DIV/0!</v>
      </c>
      <c r="AI44" s="298">
        <v>58125</v>
      </c>
      <c r="AJ44" s="312">
        <v>51.347173144876322</v>
      </c>
      <c r="AK44" s="298">
        <v>133070</v>
      </c>
      <c r="AL44" s="312">
        <v>97.415812591508057</v>
      </c>
      <c r="AM44" s="298">
        <v>423840</v>
      </c>
      <c r="AN44" s="312">
        <v>271.17082533589252</v>
      </c>
      <c r="AO44" s="298">
        <v>0</v>
      </c>
      <c r="AP44" s="312">
        <v>0</v>
      </c>
      <c r="AQ44" s="298">
        <v>0</v>
      </c>
      <c r="AR44" s="312">
        <v>0</v>
      </c>
      <c r="AS44" s="298">
        <v>251245</v>
      </c>
      <c r="AT44" s="312">
        <v>122.73815339521251</v>
      </c>
      <c r="AU44" s="298">
        <v>95000</v>
      </c>
      <c r="AV44" s="312">
        <v>63.206919494344646</v>
      </c>
      <c r="AW44" s="298">
        <v>858320</v>
      </c>
      <c r="AX44" s="312">
        <v>386.45655110310673</v>
      </c>
      <c r="AY44" s="298">
        <v>0</v>
      </c>
      <c r="AZ44" s="312">
        <v>0</v>
      </c>
      <c r="BA44" s="298">
        <v>142040</v>
      </c>
      <c r="BB44" s="312">
        <v>379.78609625668452</v>
      </c>
      <c r="BC44" s="298">
        <v>108815</v>
      </c>
      <c r="BD44" s="312">
        <v>56.971204188481678</v>
      </c>
      <c r="BE44" s="298">
        <v>170160</v>
      </c>
      <c r="BF44" s="312">
        <v>160.37700282752121</v>
      </c>
      <c r="BG44" s="298">
        <v>142245</v>
      </c>
      <c r="BH44" s="312">
        <v>158.2258064516129</v>
      </c>
      <c r="BI44" s="298">
        <v>0</v>
      </c>
      <c r="BJ44" s="312">
        <v>0</v>
      </c>
    </row>
    <row r="45" spans="1:66" x14ac:dyDescent="0.15">
      <c r="A45" s="304">
        <v>38</v>
      </c>
      <c r="B45" s="313" t="s">
        <v>17</v>
      </c>
      <c r="C45" s="306">
        <v>0</v>
      </c>
      <c r="D45" s="314">
        <v>0</v>
      </c>
      <c r="E45" s="306">
        <v>17181181</v>
      </c>
      <c r="F45" s="314">
        <v>26637.489922480621</v>
      </c>
      <c r="G45" s="306">
        <v>23388482</v>
      </c>
      <c r="H45" s="314">
        <v>17731.980288097042</v>
      </c>
      <c r="I45" s="306">
        <v>115689853</v>
      </c>
      <c r="J45" s="314">
        <v>48163.968776019981</v>
      </c>
      <c r="K45" s="306">
        <v>229920159</v>
      </c>
      <c r="L45" s="314">
        <v>47701.277800829877</v>
      </c>
      <c r="M45" s="306">
        <v>0</v>
      </c>
      <c r="N45" s="314">
        <v>0</v>
      </c>
      <c r="O45" s="306">
        <v>9693323</v>
      </c>
      <c r="P45" s="314">
        <v>14339.235207100592</v>
      </c>
      <c r="Q45" s="306">
        <v>40253468</v>
      </c>
      <c r="R45" s="314">
        <v>27953.797222222223</v>
      </c>
      <c r="S45" s="306">
        <v>135995662</v>
      </c>
      <c r="T45" s="314">
        <v>45001.873593646589</v>
      </c>
      <c r="U45" s="306">
        <v>258974340</v>
      </c>
      <c r="V45" s="314">
        <v>73802.889712168704</v>
      </c>
      <c r="W45" s="306">
        <v>24041</v>
      </c>
      <c r="X45" s="314">
        <v>686.88571428571424</v>
      </c>
      <c r="Y45" s="306">
        <v>42775236</v>
      </c>
      <c r="Z45" s="314">
        <v>43872.036923076921</v>
      </c>
      <c r="AA45" s="306">
        <v>22351340</v>
      </c>
      <c r="AB45" s="314">
        <v>69199.195046439621</v>
      </c>
      <c r="AC45" s="306">
        <v>112788900</v>
      </c>
      <c r="AD45" s="314">
        <v>77946.717346233592</v>
      </c>
      <c r="AE45" s="306">
        <v>239262787</v>
      </c>
      <c r="AF45" s="314">
        <v>28102.277073056142</v>
      </c>
      <c r="AG45" s="306">
        <v>0</v>
      </c>
      <c r="AH45" s="314" t="e">
        <v>#DIV/0!</v>
      </c>
      <c r="AI45" s="306">
        <v>30668113</v>
      </c>
      <c r="AJ45" s="314">
        <v>27091.97261484099</v>
      </c>
      <c r="AK45" s="306">
        <v>48633318</v>
      </c>
      <c r="AL45" s="314">
        <v>35602.721815519762</v>
      </c>
      <c r="AM45" s="306">
        <v>86961634</v>
      </c>
      <c r="AN45" s="314">
        <v>55637.641714651312</v>
      </c>
      <c r="AO45" s="306">
        <v>93713807</v>
      </c>
      <c r="AP45" s="314">
        <v>83079.616134751777</v>
      </c>
      <c r="AQ45" s="306">
        <v>93713807</v>
      </c>
      <c r="AR45" s="314">
        <v>83079.616134751777</v>
      </c>
      <c r="AS45" s="306">
        <v>70647474</v>
      </c>
      <c r="AT45" s="314">
        <v>34512.688812896922</v>
      </c>
      <c r="AU45" s="306">
        <v>80533927</v>
      </c>
      <c r="AV45" s="314">
        <v>53582.120425815039</v>
      </c>
      <c r="AW45" s="306">
        <v>98086132</v>
      </c>
      <c r="AX45" s="314">
        <v>44163.049076992349</v>
      </c>
      <c r="AY45" s="306">
        <v>26688791</v>
      </c>
      <c r="AZ45" s="314">
        <v>63393.802850356296</v>
      </c>
      <c r="BA45" s="306">
        <v>14609912</v>
      </c>
      <c r="BB45" s="314">
        <v>39063.935828877002</v>
      </c>
      <c r="BC45" s="306">
        <v>76842724</v>
      </c>
      <c r="BD45" s="314">
        <v>40231.792670157069</v>
      </c>
      <c r="BE45" s="306">
        <v>41035182</v>
      </c>
      <c r="BF45" s="314">
        <v>38675.949104618281</v>
      </c>
      <c r="BG45" s="306">
        <v>54501094</v>
      </c>
      <c r="BH45" s="314">
        <v>60624.131256952169</v>
      </c>
      <c r="BI45" s="306">
        <v>26688791</v>
      </c>
      <c r="BJ45" s="314">
        <v>63393.802850356296</v>
      </c>
    </row>
    <row r="46" spans="1:66" x14ac:dyDescent="0.15">
      <c r="A46" s="296">
        <v>39</v>
      </c>
      <c r="B46" s="311" t="s">
        <v>16</v>
      </c>
      <c r="C46" s="298">
        <v>0</v>
      </c>
      <c r="D46" s="312">
        <v>0</v>
      </c>
      <c r="E46" s="298">
        <v>879003</v>
      </c>
      <c r="F46" s="312">
        <v>1362.7953488372093</v>
      </c>
      <c r="G46" s="298">
        <v>1331736</v>
      </c>
      <c r="H46" s="312">
        <v>1009.65579984837</v>
      </c>
      <c r="I46" s="298">
        <v>2506205</v>
      </c>
      <c r="J46" s="312">
        <v>1043.3825978351374</v>
      </c>
      <c r="K46" s="298">
        <v>4402584</v>
      </c>
      <c r="L46" s="312">
        <v>913.39917012448132</v>
      </c>
      <c r="M46" s="298">
        <v>1300</v>
      </c>
      <c r="N46" s="312">
        <v>56.521739130434781</v>
      </c>
      <c r="O46" s="298">
        <v>1093209</v>
      </c>
      <c r="P46" s="312">
        <v>1617.1730769230769</v>
      </c>
      <c r="Q46" s="298">
        <v>2139427</v>
      </c>
      <c r="R46" s="312">
        <v>1485.7131944444445</v>
      </c>
      <c r="S46" s="298">
        <v>2796868</v>
      </c>
      <c r="T46" s="312">
        <v>925.50231634679017</v>
      </c>
      <c r="U46" s="298">
        <v>3031701</v>
      </c>
      <c r="V46" s="312">
        <v>863.97862638928473</v>
      </c>
      <c r="W46" s="298">
        <v>181450</v>
      </c>
      <c r="X46" s="312">
        <v>5184.2857142857147</v>
      </c>
      <c r="Y46" s="298">
        <v>2215826</v>
      </c>
      <c r="Z46" s="312">
        <v>2272.6420512820514</v>
      </c>
      <c r="AA46" s="298">
        <v>506291</v>
      </c>
      <c r="AB46" s="312">
        <v>1567.4643962848297</v>
      </c>
      <c r="AC46" s="298">
        <v>1327943</v>
      </c>
      <c r="AD46" s="312">
        <v>917.72149274360743</v>
      </c>
      <c r="AE46" s="298">
        <v>3725269</v>
      </c>
      <c r="AF46" s="312">
        <v>437.54627672069535</v>
      </c>
      <c r="AG46" s="298">
        <v>0</v>
      </c>
      <c r="AH46" s="312" t="e">
        <v>#DIV/0!</v>
      </c>
      <c r="AI46" s="298">
        <v>1820385</v>
      </c>
      <c r="AJ46" s="312">
        <v>1608.1139575971731</v>
      </c>
      <c r="AK46" s="298">
        <v>1520553</v>
      </c>
      <c r="AL46" s="312">
        <v>1113.1427525622255</v>
      </c>
      <c r="AM46" s="298">
        <v>1886984</v>
      </c>
      <c r="AN46" s="312">
        <v>1207.2834293026231</v>
      </c>
      <c r="AO46" s="298">
        <v>1322059</v>
      </c>
      <c r="AP46" s="312">
        <v>1172.0381205673759</v>
      </c>
      <c r="AQ46" s="298">
        <v>1322059</v>
      </c>
      <c r="AR46" s="312">
        <v>1172.0381205673759</v>
      </c>
      <c r="AS46" s="298">
        <v>3621632</v>
      </c>
      <c r="AT46" s="312">
        <v>1769.23888617489</v>
      </c>
      <c r="AU46" s="298">
        <v>5003830</v>
      </c>
      <c r="AV46" s="312">
        <v>3329.2282102461745</v>
      </c>
      <c r="AW46" s="298">
        <v>2987627</v>
      </c>
      <c r="AX46" s="312">
        <v>1345.1719945970283</v>
      </c>
      <c r="AY46" s="298">
        <v>287399</v>
      </c>
      <c r="AZ46" s="312">
        <v>682.65795724465556</v>
      </c>
      <c r="BA46" s="298">
        <v>937795</v>
      </c>
      <c r="BB46" s="312">
        <v>2507.4732620320856</v>
      </c>
      <c r="BC46" s="298">
        <v>4034021</v>
      </c>
      <c r="BD46" s="312">
        <v>2112.052879581152</v>
      </c>
      <c r="BE46" s="298">
        <v>2280567</v>
      </c>
      <c r="BF46" s="312">
        <v>2149.4505183788879</v>
      </c>
      <c r="BG46" s="298">
        <v>1460498</v>
      </c>
      <c r="BH46" s="312">
        <v>1624.5806451612902</v>
      </c>
      <c r="BI46" s="298">
        <v>287399</v>
      </c>
      <c r="BJ46" s="312">
        <v>682.65795724465556</v>
      </c>
    </row>
    <row r="47" spans="1:66" x14ac:dyDescent="0.15">
      <c r="A47" s="296">
        <v>40</v>
      </c>
      <c r="B47" s="311" t="s">
        <v>15</v>
      </c>
      <c r="C47" s="298">
        <v>0</v>
      </c>
      <c r="D47" s="312">
        <v>0</v>
      </c>
      <c r="E47" s="298">
        <v>391014</v>
      </c>
      <c r="F47" s="312">
        <v>606.22325581395353</v>
      </c>
      <c r="G47" s="298">
        <v>629505</v>
      </c>
      <c r="H47" s="312">
        <v>477.2592873388931</v>
      </c>
      <c r="I47" s="298">
        <v>1507029</v>
      </c>
      <c r="J47" s="312">
        <v>627.40591174021654</v>
      </c>
      <c r="K47" s="298">
        <v>2706382</v>
      </c>
      <c r="L47" s="312">
        <v>561.49004149377595</v>
      </c>
      <c r="M47" s="298">
        <v>0</v>
      </c>
      <c r="N47" s="312">
        <v>0</v>
      </c>
      <c r="O47" s="298">
        <v>450789</v>
      </c>
      <c r="P47" s="312">
        <v>666.84763313609471</v>
      </c>
      <c r="Q47" s="298">
        <v>949231</v>
      </c>
      <c r="R47" s="312">
        <v>659.18819444444443</v>
      </c>
      <c r="S47" s="298">
        <v>1257937</v>
      </c>
      <c r="T47" s="312">
        <v>416.25976174718727</v>
      </c>
      <c r="U47" s="298">
        <v>2509761</v>
      </c>
      <c r="V47" s="312">
        <v>715.23539469934451</v>
      </c>
      <c r="W47" s="298">
        <v>1351</v>
      </c>
      <c r="X47" s="312">
        <v>38.6</v>
      </c>
      <c r="Y47" s="298">
        <v>315657</v>
      </c>
      <c r="Z47" s="312">
        <v>323.75076923076921</v>
      </c>
      <c r="AA47" s="298">
        <v>187478</v>
      </c>
      <c r="AB47" s="312">
        <v>580.42724458204339</v>
      </c>
      <c r="AC47" s="298">
        <v>1029231</v>
      </c>
      <c r="AD47" s="312">
        <v>711.28610919143057</v>
      </c>
      <c r="AE47" s="298">
        <v>2198091</v>
      </c>
      <c r="AF47" s="312">
        <v>258.17371388301621</v>
      </c>
      <c r="AG47" s="298">
        <v>0</v>
      </c>
      <c r="AH47" s="312" t="e">
        <v>#DIV/0!</v>
      </c>
      <c r="AI47" s="298">
        <v>664925</v>
      </c>
      <c r="AJ47" s="312">
        <v>587.38957597173146</v>
      </c>
      <c r="AK47" s="298">
        <v>859844</v>
      </c>
      <c r="AL47" s="312">
        <v>629.46120058565157</v>
      </c>
      <c r="AM47" s="298">
        <v>1458991</v>
      </c>
      <c r="AN47" s="312">
        <v>933.45553422904675</v>
      </c>
      <c r="AO47" s="298">
        <v>1547565</v>
      </c>
      <c r="AP47" s="312">
        <v>1371.9547872340424</v>
      </c>
      <c r="AQ47" s="298">
        <v>1547565</v>
      </c>
      <c r="AR47" s="312">
        <v>1371.9547872340424</v>
      </c>
      <c r="AS47" s="298">
        <v>760033</v>
      </c>
      <c r="AT47" s="312">
        <v>371.29115779189056</v>
      </c>
      <c r="AU47" s="298">
        <v>652581</v>
      </c>
      <c r="AV47" s="312">
        <v>434.18562874251495</v>
      </c>
      <c r="AW47" s="298">
        <v>3411383</v>
      </c>
      <c r="AX47" s="312">
        <v>1535.9671319225574</v>
      </c>
      <c r="AY47" s="298">
        <v>290744</v>
      </c>
      <c r="AZ47" s="312">
        <v>690.60332541567698</v>
      </c>
      <c r="BA47" s="298">
        <v>177724</v>
      </c>
      <c r="BB47" s="312">
        <v>475.19786096256684</v>
      </c>
      <c r="BC47" s="298">
        <v>1058963</v>
      </c>
      <c r="BD47" s="312">
        <v>554.43089005235606</v>
      </c>
      <c r="BE47" s="298">
        <v>590478</v>
      </c>
      <c r="BF47" s="312">
        <v>556.52968897266726</v>
      </c>
      <c r="BG47" s="298">
        <v>769912</v>
      </c>
      <c r="BH47" s="312">
        <v>856.40934371523917</v>
      </c>
      <c r="BI47" s="298">
        <v>290744</v>
      </c>
      <c r="BJ47" s="312">
        <v>690.60332541567698</v>
      </c>
    </row>
    <row r="48" spans="1:66" x14ac:dyDescent="0.15">
      <c r="A48" s="296">
        <v>41</v>
      </c>
      <c r="B48" s="311" t="s">
        <v>14</v>
      </c>
      <c r="C48" s="298">
        <v>0</v>
      </c>
      <c r="D48" s="312">
        <v>0</v>
      </c>
      <c r="E48" s="298">
        <v>2604575</v>
      </c>
      <c r="F48" s="312">
        <v>4038.1007751937987</v>
      </c>
      <c r="G48" s="298">
        <v>997228</v>
      </c>
      <c r="H48" s="312">
        <v>756.04852160727819</v>
      </c>
      <c r="I48" s="298">
        <v>245824</v>
      </c>
      <c r="J48" s="312">
        <v>102.3413821815154</v>
      </c>
      <c r="K48" s="298">
        <v>3897671</v>
      </c>
      <c r="L48" s="312">
        <v>808.64543568464728</v>
      </c>
      <c r="M48" s="298">
        <v>0</v>
      </c>
      <c r="N48" s="312">
        <v>0</v>
      </c>
      <c r="O48" s="298">
        <v>20000</v>
      </c>
      <c r="P48" s="312">
        <v>29.585798816568047</v>
      </c>
      <c r="Q48" s="298">
        <v>265195</v>
      </c>
      <c r="R48" s="312">
        <v>184.16319444444446</v>
      </c>
      <c r="S48" s="298">
        <v>135203</v>
      </c>
      <c r="T48" s="312">
        <v>44.739576439444079</v>
      </c>
      <c r="U48" s="298">
        <v>4922835</v>
      </c>
      <c r="V48" s="312">
        <v>1402.9167854089485</v>
      </c>
      <c r="W48" s="298">
        <v>0</v>
      </c>
      <c r="X48" s="312">
        <v>0</v>
      </c>
      <c r="Y48" s="298">
        <v>55900</v>
      </c>
      <c r="Z48" s="312">
        <v>57.333333333333336</v>
      </c>
      <c r="AA48" s="298">
        <v>11000</v>
      </c>
      <c r="AB48" s="312">
        <v>34.055727554179569</v>
      </c>
      <c r="AC48" s="298">
        <v>41360</v>
      </c>
      <c r="AD48" s="312">
        <v>28.583275742916378</v>
      </c>
      <c r="AE48" s="298">
        <v>10308435</v>
      </c>
      <c r="AF48" s="312">
        <v>1210.7628611698378</v>
      </c>
      <c r="AG48" s="298">
        <v>0</v>
      </c>
      <c r="AH48" s="312" t="e">
        <v>#DIV/0!</v>
      </c>
      <c r="AI48" s="298">
        <v>168668</v>
      </c>
      <c r="AJ48" s="312">
        <v>149</v>
      </c>
      <c r="AK48" s="298">
        <v>5500</v>
      </c>
      <c r="AL48" s="312">
        <v>4.0263543191800881</v>
      </c>
      <c r="AM48" s="298">
        <v>230225</v>
      </c>
      <c r="AN48" s="312">
        <v>147.29686500319897</v>
      </c>
      <c r="AO48" s="298">
        <v>21000</v>
      </c>
      <c r="AP48" s="312">
        <v>18.617021276595743</v>
      </c>
      <c r="AQ48" s="298">
        <v>21000</v>
      </c>
      <c r="AR48" s="312">
        <v>18.617021276595743</v>
      </c>
      <c r="AS48" s="298">
        <v>147235</v>
      </c>
      <c r="AT48" s="312">
        <v>71.927210552027361</v>
      </c>
      <c r="AU48" s="298">
        <v>44990</v>
      </c>
      <c r="AV48" s="312">
        <v>29.933466400532268</v>
      </c>
      <c r="AW48" s="298">
        <v>3326654</v>
      </c>
      <c r="AX48" s="312">
        <v>1497.8180999549752</v>
      </c>
      <c r="AY48" s="298">
        <v>0</v>
      </c>
      <c r="AZ48" s="312">
        <v>0</v>
      </c>
      <c r="BA48" s="298">
        <v>16535</v>
      </c>
      <c r="BB48" s="312">
        <v>44.211229946524064</v>
      </c>
      <c r="BC48" s="298">
        <v>67100</v>
      </c>
      <c r="BD48" s="312">
        <v>35.130890052356023</v>
      </c>
      <c r="BE48" s="298">
        <v>48554</v>
      </c>
      <c r="BF48" s="312">
        <v>45.762488218661638</v>
      </c>
      <c r="BG48" s="298">
        <v>0</v>
      </c>
      <c r="BH48" s="312">
        <v>0</v>
      </c>
      <c r="BI48" s="298">
        <v>0</v>
      </c>
      <c r="BJ48" s="312">
        <v>0</v>
      </c>
    </row>
    <row r="49" spans="1:62" x14ac:dyDescent="0.15">
      <c r="A49" s="296">
        <v>42</v>
      </c>
      <c r="B49" s="311" t="s">
        <v>13</v>
      </c>
      <c r="C49" s="298">
        <v>198402</v>
      </c>
      <c r="D49" s="312">
        <v>6613.4</v>
      </c>
      <c r="E49" s="298">
        <v>9652587</v>
      </c>
      <c r="F49" s="312">
        <v>14965.251162790697</v>
      </c>
      <c r="G49" s="298">
        <v>13791712</v>
      </c>
      <c r="H49" s="312">
        <v>10456.188021228203</v>
      </c>
      <c r="I49" s="298">
        <v>25179283</v>
      </c>
      <c r="J49" s="312">
        <v>10482.632389675271</v>
      </c>
      <c r="K49" s="298">
        <v>41861096</v>
      </c>
      <c r="L49" s="312">
        <v>8684.8746887966809</v>
      </c>
      <c r="M49" s="298">
        <v>217925</v>
      </c>
      <c r="N49" s="312">
        <v>9475</v>
      </c>
      <c r="O49" s="298">
        <v>11540563</v>
      </c>
      <c r="P49" s="312">
        <v>17071.83875739645</v>
      </c>
      <c r="Q49" s="298">
        <v>16780768</v>
      </c>
      <c r="R49" s="312">
        <v>11653.31111111111</v>
      </c>
      <c r="S49" s="298">
        <v>38103425</v>
      </c>
      <c r="T49" s="312">
        <v>12608.678027796161</v>
      </c>
      <c r="U49" s="298">
        <v>30932760</v>
      </c>
      <c r="V49" s="312">
        <v>8815.2636078654887</v>
      </c>
      <c r="W49" s="298">
        <v>140620</v>
      </c>
      <c r="X49" s="312">
        <v>4017.7142857142858</v>
      </c>
      <c r="Y49" s="298">
        <v>7424315</v>
      </c>
      <c r="Z49" s="312">
        <v>7614.6820512820514</v>
      </c>
      <c r="AA49" s="298">
        <v>1528560</v>
      </c>
      <c r="AB49" s="312">
        <v>4732.3839009287922</v>
      </c>
      <c r="AC49" s="298">
        <v>19985005</v>
      </c>
      <c r="AD49" s="312">
        <v>13811.337249481687</v>
      </c>
      <c r="AE49" s="298">
        <v>38145632</v>
      </c>
      <c r="AF49" s="312">
        <v>4480.3420249001647</v>
      </c>
      <c r="AG49" s="298">
        <v>0</v>
      </c>
      <c r="AH49" s="312" t="e">
        <v>#DIV/0!</v>
      </c>
      <c r="AI49" s="298">
        <v>10898618</v>
      </c>
      <c r="AJ49" s="312">
        <v>9627.7544169611301</v>
      </c>
      <c r="AK49" s="298">
        <v>9212007</v>
      </c>
      <c r="AL49" s="312">
        <v>6743.7825768667644</v>
      </c>
      <c r="AM49" s="298">
        <v>12307161</v>
      </c>
      <c r="AN49" s="312">
        <v>7874.0633397312859</v>
      </c>
      <c r="AO49" s="298">
        <v>16351594</v>
      </c>
      <c r="AP49" s="312">
        <v>14496.093971631206</v>
      </c>
      <c r="AQ49" s="298">
        <v>16351594</v>
      </c>
      <c r="AR49" s="312">
        <v>14496.093971631206</v>
      </c>
      <c r="AS49" s="298">
        <v>22780242</v>
      </c>
      <c r="AT49" s="312">
        <v>11128.598925256472</v>
      </c>
      <c r="AU49" s="298">
        <v>11856615</v>
      </c>
      <c r="AV49" s="312">
        <v>7888.6327345309383</v>
      </c>
      <c r="AW49" s="298">
        <v>16404480</v>
      </c>
      <c r="AX49" s="312">
        <v>7386.0783430886986</v>
      </c>
      <c r="AY49" s="298">
        <v>4039797</v>
      </c>
      <c r="AZ49" s="312">
        <v>9595.7173396674589</v>
      </c>
      <c r="BA49" s="298">
        <v>6621022</v>
      </c>
      <c r="BB49" s="312">
        <v>17703.267379679146</v>
      </c>
      <c r="BC49" s="298">
        <v>18335094</v>
      </c>
      <c r="BD49" s="312">
        <v>9599.5256544502627</v>
      </c>
      <c r="BE49" s="298">
        <v>8930332</v>
      </c>
      <c r="BF49" s="312">
        <v>8416.9010367577757</v>
      </c>
      <c r="BG49" s="298">
        <v>3540987</v>
      </c>
      <c r="BH49" s="312">
        <v>3938.8064516129034</v>
      </c>
      <c r="BI49" s="298">
        <v>4039797</v>
      </c>
      <c r="BJ49" s="312">
        <v>9595.7173396674589</v>
      </c>
    </row>
    <row r="50" spans="1:62" x14ac:dyDescent="0.15">
      <c r="A50" s="304">
        <v>43</v>
      </c>
      <c r="B50" s="313" t="s">
        <v>12</v>
      </c>
      <c r="C50" s="298">
        <v>198402</v>
      </c>
      <c r="D50" s="312">
        <v>6613.4</v>
      </c>
      <c r="E50" s="298">
        <v>13527179</v>
      </c>
      <c r="F50" s="312">
        <v>20972.370542635657</v>
      </c>
      <c r="G50" s="298">
        <v>16750181</v>
      </c>
      <c r="H50" s="312">
        <v>12699.151630022745</v>
      </c>
      <c r="I50" s="298">
        <v>29438341</v>
      </c>
      <c r="J50" s="312">
        <v>12255.76228143214</v>
      </c>
      <c r="K50" s="298">
        <v>52867733</v>
      </c>
      <c r="L50" s="312">
        <v>10968.409336099585</v>
      </c>
      <c r="M50" s="298">
        <v>219225</v>
      </c>
      <c r="N50" s="312">
        <v>9531.5217391304341</v>
      </c>
      <c r="O50" s="298">
        <v>13104561</v>
      </c>
      <c r="P50" s="312">
        <v>19385.445266272189</v>
      </c>
      <c r="Q50" s="298">
        <v>20134621</v>
      </c>
      <c r="R50" s="312">
        <v>13982.375694444445</v>
      </c>
      <c r="S50" s="298">
        <v>42293433</v>
      </c>
      <c r="T50" s="312">
        <v>13995.179682329583</v>
      </c>
      <c r="U50" s="298">
        <v>41397057</v>
      </c>
      <c r="V50" s="312">
        <v>11797.394414363067</v>
      </c>
      <c r="W50" s="298">
        <v>323421</v>
      </c>
      <c r="X50" s="312">
        <v>9240.6</v>
      </c>
      <c r="Y50" s="298">
        <v>10011698</v>
      </c>
      <c r="Z50" s="312">
        <v>10268.408205128206</v>
      </c>
      <c r="AA50" s="298">
        <v>2233329</v>
      </c>
      <c r="AB50" s="312">
        <v>6914.3312693498456</v>
      </c>
      <c r="AC50" s="298">
        <v>22383539</v>
      </c>
      <c r="AD50" s="312">
        <v>15468.928127159641</v>
      </c>
      <c r="AE50" s="298">
        <v>54377427</v>
      </c>
      <c r="AF50" s="312">
        <v>6386.8248766737142</v>
      </c>
      <c r="AG50" s="298">
        <v>0</v>
      </c>
      <c r="AH50" s="312" t="e">
        <v>#DIV/0!</v>
      </c>
      <c r="AI50" s="298">
        <v>13552596</v>
      </c>
      <c r="AJ50" s="312">
        <v>11972.257950530035</v>
      </c>
      <c r="AK50" s="298">
        <v>11597904</v>
      </c>
      <c r="AL50" s="312">
        <v>8490.4128843338221</v>
      </c>
      <c r="AM50" s="298">
        <v>15883361</v>
      </c>
      <c r="AN50" s="312">
        <v>10162.099168266155</v>
      </c>
      <c r="AO50" s="298">
        <v>19242218</v>
      </c>
      <c r="AP50" s="312">
        <v>17058.703900709221</v>
      </c>
      <c r="AQ50" s="298">
        <v>19242218</v>
      </c>
      <c r="AR50" s="312">
        <v>17058.703900709221</v>
      </c>
      <c r="AS50" s="298">
        <v>27309142</v>
      </c>
      <c r="AT50" s="312">
        <v>13341.056179775282</v>
      </c>
      <c r="AU50" s="298">
        <v>17558016</v>
      </c>
      <c r="AV50" s="312">
        <v>11681.980039920159</v>
      </c>
      <c r="AW50" s="298">
        <v>26130144</v>
      </c>
      <c r="AX50" s="312">
        <v>11765.035569563261</v>
      </c>
      <c r="AY50" s="298">
        <v>4617940</v>
      </c>
      <c r="AZ50" s="312">
        <v>10968.978622327792</v>
      </c>
      <c r="BA50" s="298">
        <v>7753076</v>
      </c>
      <c r="BB50" s="312">
        <v>20730.149732620321</v>
      </c>
      <c r="BC50" s="298">
        <v>23495178</v>
      </c>
      <c r="BD50" s="312">
        <v>12301.140314136126</v>
      </c>
      <c r="BE50" s="298">
        <v>11849931</v>
      </c>
      <c r="BF50" s="312">
        <v>11168.643732327993</v>
      </c>
      <c r="BG50" s="298">
        <v>5771397</v>
      </c>
      <c r="BH50" s="312">
        <v>6419.7964404894328</v>
      </c>
      <c r="BI50" s="298">
        <v>4617940</v>
      </c>
      <c r="BJ50" s="312">
        <v>10968.978622327792</v>
      </c>
    </row>
    <row r="51" spans="1:62" x14ac:dyDescent="0.15">
      <c r="A51" s="304">
        <v>44</v>
      </c>
      <c r="B51" s="313" t="s">
        <v>11</v>
      </c>
      <c r="C51" s="315">
        <v>198402</v>
      </c>
      <c r="D51" s="316">
        <v>6613.4</v>
      </c>
      <c r="E51" s="315">
        <v>30708360</v>
      </c>
      <c r="F51" s="316">
        <v>47609.860465116282</v>
      </c>
      <c r="G51" s="315">
        <v>40138663</v>
      </c>
      <c r="H51" s="316">
        <v>30431.131918119787</v>
      </c>
      <c r="I51" s="315">
        <v>145128194</v>
      </c>
      <c r="J51" s="316">
        <v>60419.731057452125</v>
      </c>
      <c r="K51" s="315">
        <v>282787892</v>
      </c>
      <c r="L51" s="316">
        <v>58669.68713692946</v>
      </c>
      <c r="M51" s="315">
        <v>219225</v>
      </c>
      <c r="N51" s="316">
        <v>9531.5217391304341</v>
      </c>
      <c r="O51" s="315">
        <v>22797884</v>
      </c>
      <c r="P51" s="316">
        <v>33724.680473372784</v>
      </c>
      <c r="Q51" s="315">
        <v>60388089</v>
      </c>
      <c r="R51" s="316">
        <v>41936.17291666667</v>
      </c>
      <c r="S51" s="315">
        <v>178289095</v>
      </c>
      <c r="T51" s="316">
        <v>58997.053275976177</v>
      </c>
      <c r="U51" s="315">
        <v>300371397</v>
      </c>
      <c r="V51" s="316">
        <v>85600.284126531769</v>
      </c>
      <c r="W51" s="315">
        <v>347462</v>
      </c>
      <c r="X51" s="316">
        <v>9927.4857142857145</v>
      </c>
      <c r="Y51" s="315">
        <v>52786934</v>
      </c>
      <c r="Z51" s="316">
        <v>54140.44512820513</v>
      </c>
      <c r="AA51" s="315">
        <v>24584669</v>
      </c>
      <c r="AB51" s="316">
        <v>76113.526315789481</v>
      </c>
      <c r="AC51" s="315">
        <v>135172439</v>
      </c>
      <c r="AD51" s="316">
        <v>93415.645473393233</v>
      </c>
      <c r="AE51" s="315">
        <v>293640214</v>
      </c>
      <c r="AF51" s="316">
        <v>34489.101949729855</v>
      </c>
      <c r="AG51" s="315">
        <v>0</v>
      </c>
      <c r="AH51" s="316" t="e">
        <v>#DIV/0!</v>
      </c>
      <c r="AI51" s="315">
        <v>44220709</v>
      </c>
      <c r="AJ51" s="316">
        <v>39064.230565371028</v>
      </c>
      <c r="AK51" s="315">
        <v>60231222</v>
      </c>
      <c r="AL51" s="316">
        <v>44093.134699853588</v>
      </c>
      <c r="AM51" s="315">
        <v>102844995</v>
      </c>
      <c r="AN51" s="316">
        <v>65799.740882917467</v>
      </c>
      <c r="AO51" s="315">
        <v>112956025</v>
      </c>
      <c r="AP51" s="316">
        <v>100138.32003546099</v>
      </c>
      <c r="AQ51" s="315">
        <v>112956025</v>
      </c>
      <c r="AR51" s="316">
        <v>100138.32003546099</v>
      </c>
      <c r="AS51" s="315">
        <v>97956616</v>
      </c>
      <c r="AT51" s="316">
        <v>47853.744992672204</v>
      </c>
      <c r="AU51" s="315">
        <v>98091943</v>
      </c>
      <c r="AV51" s="316">
        <v>65264.100465735195</v>
      </c>
      <c r="AW51" s="315">
        <v>124216276</v>
      </c>
      <c r="AX51" s="316">
        <v>55928.084646555602</v>
      </c>
      <c r="AY51" s="315">
        <v>31306731</v>
      </c>
      <c r="AZ51" s="316">
        <v>74362.781472684088</v>
      </c>
      <c r="BA51" s="315">
        <v>22362988</v>
      </c>
      <c r="BB51" s="316">
        <v>59794.085561497326</v>
      </c>
      <c r="BC51" s="315">
        <v>100337902</v>
      </c>
      <c r="BD51" s="316">
        <v>52532.932984293191</v>
      </c>
      <c r="BE51" s="315">
        <v>52885113</v>
      </c>
      <c r="BF51" s="316">
        <v>49844.592836946278</v>
      </c>
      <c r="BG51" s="315">
        <v>60272491</v>
      </c>
      <c r="BH51" s="316">
        <v>67043.927697441599</v>
      </c>
      <c r="BI51" s="315">
        <v>31306731</v>
      </c>
      <c r="BJ51" s="316">
        <v>74362.781472684088</v>
      </c>
    </row>
    <row r="52" spans="1:62" x14ac:dyDescent="0.15">
      <c r="A52" s="304">
        <v>45</v>
      </c>
      <c r="B52" s="313" t="s">
        <v>10</v>
      </c>
      <c r="C52" s="315">
        <v>-603777</v>
      </c>
      <c r="D52" s="316">
        <v>-20125.900000000001</v>
      </c>
      <c r="E52" s="315">
        <v>11413614</v>
      </c>
      <c r="F52" s="316">
        <v>17695.525581395348</v>
      </c>
      <c r="G52" s="315">
        <v>10979235</v>
      </c>
      <c r="H52" s="316">
        <v>8323.9082638362397</v>
      </c>
      <c r="I52" s="315">
        <v>55985250</v>
      </c>
      <c r="J52" s="316">
        <v>23307.764363030808</v>
      </c>
      <c r="K52" s="315">
        <v>105753196</v>
      </c>
      <c r="L52" s="316">
        <v>21940.497095435683</v>
      </c>
      <c r="M52" s="315">
        <v>-172997</v>
      </c>
      <c r="N52" s="316">
        <v>-7521.608695652174</v>
      </c>
      <c r="O52" s="315">
        <v>4094708</v>
      </c>
      <c r="P52" s="316">
        <v>6057.2603550295862</v>
      </c>
      <c r="Q52" s="315">
        <v>13174379</v>
      </c>
      <c r="R52" s="316">
        <v>9148.8743055555551</v>
      </c>
      <c r="S52" s="315">
        <v>66399364</v>
      </c>
      <c r="T52" s="316">
        <v>21971.993381866312</v>
      </c>
      <c r="U52" s="315">
        <v>118414621</v>
      </c>
      <c r="V52" s="316">
        <v>33745.973496722712</v>
      </c>
      <c r="W52" s="315">
        <v>-1499320</v>
      </c>
      <c r="X52" s="316">
        <v>-42837.714285714283</v>
      </c>
      <c r="Y52" s="315">
        <v>911906</v>
      </c>
      <c r="Z52" s="316">
        <v>935.28820512820516</v>
      </c>
      <c r="AA52" s="315">
        <v>8416847</v>
      </c>
      <c r="AB52" s="316">
        <v>26058.349845201239</v>
      </c>
      <c r="AC52" s="315">
        <v>56216887</v>
      </c>
      <c r="AD52" s="316">
        <v>38850.647546648237</v>
      </c>
      <c r="AE52" s="315">
        <v>153822862</v>
      </c>
      <c r="AF52" s="316">
        <v>18067.04980032887</v>
      </c>
      <c r="AG52" s="315">
        <v>0</v>
      </c>
      <c r="AH52" s="316" t="e">
        <v>#DIV/0!</v>
      </c>
      <c r="AI52" s="315">
        <v>9020160</v>
      </c>
      <c r="AJ52" s="316">
        <v>7968.3392226148408</v>
      </c>
      <c r="AK52" s="315">
        <v>17410341</v>
      </c>
      <c r="AL52" s="316">
        <v>12745.491215226941</v>
      </c>
      <c r="AM52" s="315">
        <v>38878790</v>
      </c>
      <c r="AN52" s="316">
        <v>24874.465770953295</v>
      </c>
      <c r="AO52" s="315">
        <v>45872775</v>
      </c>
      <c r="AP52" s="316">
        <v>40667.353723404252</v>
      </c>
      <c r="AQ52" s="315">
        <v>45872775</v>
      </c>
      <c r="AR52" s="316">
        <v>40667.353723404252</v>
      </c>
      <c r="AS52" s="315">
        <v>25844203</v>
      </c>
      <c r="AT52" s="316">
        <v>12625.404494382023</v>
      </c>
      <c r="AU52" s="315">
        <v>39858976</v>
      </c>
      <c r="AV52" s="316">
        <v>26519.611443779108</v>
      </c>
      <c r="AW52" s="315">
        <v>40576636</v>
      </c>
      <c r="AX52" s="316">
        <v>18269.534443944169</v>
      </c>
      <c r="AY52" s="315">
        <v>9372132</v>
      </c>
      <c r="AZ52" s="316">
        <v>22261.596199524942</v>
      </c>
      <c r="BA52" s="315">
        <v>2063131</v>
      </c>
      <c r="BB52" s="316">
        <v>5516.3930481283423</v>
      </c>
      <c r="BC52" s="315">
        <v>26920638</v>
      </c>
      <c r="BD52" s="316">
        <v>14094.574869109947</v>
      </c>
      <c r="BE52" s="315">
        <v>13422669</v>
      </c>
      <c r="BF52" s="316">
        <v>12650.96041470311</v>
      </c>
      <c r="BG52" s="315">
        <v>20310398</v>
      </c>
      <c r="BH52" s="316">
        <v>22592.211345939933</v>
      </c>
      <c r="BI52" s="315">
        <v>9372132</v>
      </c>
      <c r="BJ52" s="316">
        <v>22261.596199524942</v>
      </c>
    </row>
    <row r="53" spans="1:62" x14ac:dyDescent="0.15">
      <c r="A53" s="296">
        <v>46</v>
      </c>
      <c r="B53" s="311" t="s">
        <v>9</v>
      </c>
      <c r="C53" s="298">
        <v>0</v>
      </c>
      <c r="D53" s="312">
        <v>0</v>
      </c>
      <c r="E53" s="298">
        <v>5956927</v>
      </c>
      <c r="F53" s="312">
        <v>9235.5457364341091</v>
      </c>
      <c r="G53" s="298">
        <v>8905167</v>
      </c>
      <c r="H53" s="312">
        <v>6751.4533737680058</v>
      </c>
      <c r="I53" s="298">
        <v>51940076</v>
      </c>
      <c r="J53" s="312">
        <v>21623.678601165695</v>
      </c>
      <c r="K53" s="298">
        <v>100357964</v>
      </c>
      <c r="L53" s="312">
        <v>20821.154356846473</v>
      </c>
      <c r="M53" s="298">
        <v>0</v>
      </c>
      <c r="N53" s="312">
        <v>0</v>
      </c>
      <c r="O53" s="298">
        <v>4927612</v>
      </c>
      <c r="P53" s="312">
        <v>7289.3668639053258</v>
      </c>
      <c r="Q53" s="298">
        <v>23051186</v>
      </c>
      <c r="R53" s="312">
        <v>16007.768055555556</v>
      </c>
      <c r="S53" s="298">
        <v>64041521</v>
      </c>
      <c r="T53" s="312">
        <v>21191.767372600927</v>
      </c>
      <c r="U53" s="298">
        <v>125827602</v>
      </c>
      <c r="V53" s="312">
        <v>35858.535765175264</v>
      </c>
      <c r="W53" s="298">
        <v>61700</v>
      </c>
      <c r="X53" s="312">
        <v>1762.8571428571429</v>
      </c>
      <c r="Y53" s="298">
        <v>29465689</v>
      </c>
      <c r="Z53" s="312">
        <v>30221.219487179485</v>
      </c>
      <c r="AA53" s="298">
        <v>8206392</v>
      </c>
      <c r="AB53" s="312">
        <v>25406.786377708977</v>
      </c>
      <c r="AC53" s="298">
        <v>54491338</v>
      </c>
      <c r="AD53" s="312">
        <v>37658.146510020735</v>
      </c>
      <c r="AE53" s="298">
        <v>91640867</v>
      </c>
      <c r="AF53" s="312">
        <v>10763.550270143294</v>
      </c>
      <c r="AG53" s="298">
        <v>0</v>
      </c>
      <c r="AH53" s="312" t="e">
        <v>#DIV/0!</v>
      </c>
      <c r="AI53" s="298">
        <v>13074805</v>
      </c>
      <c r="AJ53" s="312">
        <v>11550.18109540636</v>
      </c>
      <c r="AK53" s="298">
        <v>20571567</v>
      </c>
      <c r="AL53" s="312">
        <v>15059.712298682283</v>
      </c>
      <c r="AM53" s="298">
        <v>34944786</v>
      </c>
      <c r="AN53" s="312">
        <v>22357.508637236086</v>
      </c>
      <c r="AO53" s="298">
        <v>44987236</v>
      </c>
      <c r="AP53" s="312">
        <v>39882.301418439718</v>
      </c>
      <c r="AQ53" s="298">
        <v>44987236</v>
      </c>
      <c r="AR53" s="312">
        <v>39882.301418439718</v>
      </c>
      <c r="AS53" s="298">
        <v>31899508</v>
      </c>
      <c r="AT53" s="312">
        <v>15583.540791402052</v>
      </c>
      <c r="AU53" s="298">
        <v>33969193</v>
      </c>
      <c r="AV53" s="312">
        <v>22600.926813040587</v>
      </c>
      <c r="AW53" s="298">
        <v>45344589</v>
      </c>
      <c r="AX53" s="312">
        <v>20416.294011706439</v>
      </c>
      <c r="AY53" s="298">
        <v>15517354</v>
      </c>
      <c r="AZ53" s="312">
        <v>36858.323040380048</v>
      </c>
      <c r="BA53" s="298">
        <v>9195952</v>
      </c>
      <c r="BB53" s="312">
        <v>24588.106951871658</v>
      </c>
      <c r="BC53" s="298">
        <v>35104765</v>
      </c>
      <c r="BD53" s="312">
        <v>18379.458115183246</v>
      </c>
      <c r="BE53" s="298">
        <v>21978008</v>
      </c>
      <c r="BF53" s="312">
        <v>20714.427898209236</v>
      </c>
      <c r="BG53" s="298">
        <v>24518666</v>
      </c>
      <c r="BH53" s="312">
        <v>27273.265850945496</v>
      </c>
      <c r="BI53" s="298">
        <v>15517354</v>
      </c>
      <c r="BJ53" s="312">
        <v>36858.323040380048</v>
      </c>
    </row>
    <row r="54" spans="1:62" x14ac:dyDescent="0.15">
      <c r="A54" s="296">
        <v>47</v>
      </c>
      <c r="B54" s="311" t="s">
        <v>8</v>
      </c>
      <c r="C54" s="298">
        <v>802179</v>
      </c>
      <c r="D54" s="312">
        <v>26739.3</v>
      </c>
      <c r="E54" s="298">
        <v>13337819</v>
      </c>
      <c r="F54" s="312">
        <v>20678.789147286821</v>
      </c>
      <c r="G54" s="298">
        <v>20254261</v>
      </c>
      <c r="H54" s="312">
        <v>15355.770280515542</v>
      </c>
      <c r="I54" s="298">
        <v>37202867</v>
      </c>
      <c r="J54" s="312">
        <v>15488.287676935886</v>
      </c>
      <c r="K54" s="298">
        <v>76676732</v>
      </c>
      <c r="L54" s="312">
        <v>15908.035684647302</v>
      </c>
      <c r="M54" s="298">
        <v>392222</v>
      </c>
      <c r="N54" s="312">
        <v>17053.130434782608</v>
      </c>
      <c r="O54" s="298">
        <v>13775564</v>
      </c>
      <c r="P54" s="312">
        <v>20378.053254437869</v>
      </c>
      <c r="Q54" s="298">
        <v>24162524</v>
      </c>
      <c r="R54" s="312">
        <v>16779.530555555557</v>
      </c>
      <c r="S54" s="298">
        <v>47848210</v>
      </c>
      <c r="T54" s="312">
        <v>15833.292521508934</v>
      </c>
      <c r="U54" s="298">
        <v>56129174</v>
      </c>
      <c r="V54" s="312">
        <v>15995.774864633799</v>
      </c>
      <c r="W54" s="298">
        <v>1785082</v>
      </c>
      <c r="X54" s="312">
        <v>51002.342857142859</v>
      </c>
      <c r="Y54" s="298">
        <v>22409339</v>
      </c>
      <c r="Z54" s="312">
        <v>22983.937435897435</v>
      </c>
      <c r="AA54" s="298">
        <v>7961430</v>
      </c>
      <c r="AB54" s="312">
        <v>24648.390092879257</v>
      </c>
      <c r="AC54" s="298">
        <v>24464213</v>
      </c>
      <c r="AD54" s="312">
        <v>16906.850725639255</v>
      </c>
      <c r="AE54" s="298">
        <v>48176486</v>
      </c>
      <c r="AF54" s="312">
        <v>5658.5019967112994</v>
      </c>
      <c r="AG54" s="298">
        <v>0</v>
      </c>
      <c r="AH54" s="312" t="e">
        <v>#DIV/0!</v>
      </c>
      <c r="AI54" s="298">
        <v>22125744</v>
      </c>
      <c r="AJ54" s="312">
        <v>19545.710247349823</v>
      </c>
      <c r="AK54" s="298">
        <v>22249315</v>
      </c>
      <c r="AL54" s="312">
        <v>16287.931918008784</v>
      </c>
      <c r="AM54" s="298">
        <v>29021419</v>
      </c>
      <c r="AN54" s="312">
        <v>18567.766474728087</v>
      </c>
      <c r="AO54" s="298">
        <v>22096014</v>
      </c>
      <c r="AP54" s="312">
        <v>19588.66489361702</v>
      </c>
      <c r="AQ54" s="298">
        <v>22096014</v>
      </c>
      <c r="AR54" s="312">
        <v>19588.66489361702</v>
      </c>
      <c r="AS54" s="298">
        <v>40212904</v>
      </c>
      <c r="AT54" s="312">
        <v>19644.799218368345</v>
      </c>
      <c r="AU54" s="298">
        <v>24263774</v>
      </c>
      <c r="AV54" s="312">
        <v>16143.562208915502</v>
      </c>
      <c r="AW54" s="298">
        <v>38295051</v>
      </c>
      <c r="AX54" s="312">
        <v>17242.256190904998</v>
      </c>
      <c r="AY54" s="298">
        <v>6417245</v>
      </c>
      <c r="AZ54" s="312">
        <v>15242.862232779098</v>
      </c>
      <c r="BA54" s="298">
        <v>11103904</v>
      </c>
      <c r="BB54" s="312">
        <v>29689.582887700533</v>
      </c>
      <c r="BC54" s="298">
        <v>38312499</v>
      </c>
      <c r="BD54" s="312">
        <v>20058.900000000001</v>
      </c>
      <c r="BE54" s="298">
        <v>17484436</v>
      </c>
      <c r="BF54" s="312">
        <v>16479.204524033928</v>
      </c>
      <c r="BG54" s="298">
        <v>15443426</v>
      </c>
      <c r="BH54" s="312">
        <v>17178.449388209123</v>
      </c>
      <c r="BI54" s="298">
        <v>6417245</v>
      </c>
      <c r="BJ54" s="312">
        <v>15242.862232779098</v>
      </c>
    </row>
    <row r="55" spans="1:62" x14ac:dyDescent="0.15">
      <c r="A55" s="304">
        <v>48</v>
      </c>
      <c r="B55" s="313" t="s">
        <v>7</v>
      </c>
      <c r="C55" s="298">
        <v>802179</v>
      </c>
      <c r="D55" s="312">
        <v>26739.3</v>
      </c>
      <c r="E55" s="298">
        <v>19294746</v>
      </c>
      <c r="F55" s="312">
        <v>29914.334883720931</v>
      </c>
      <c r="G55" s="298">
        <v>29159428</v>
      </c>
      <c r="H55" s="312">
        <v>22107.223654283549</v>
      </c>
      <c r="I55" s="298">
        <v>89142943</v>
      </c>
      <c r="J55" s="312">
        <v>37111.96627810158</v>
      </c>
      <c r="K55" s="298">
        <v>177034696</v>
      </c>
      <c r="L55" s="312">
        <v>36729.190041493777</v>
      </c>
      <c r="M55" s="298">
        <v>392222</v>
      </c>
      <c r="N55" s="312">
        <v>17053.130434782608</v>
      </c>
      <c r="O55" s="298">
        <v>18703176</v>
      </c>
      <c r="P55" s="312">
        <v>27667.420118343194</v>
      </c>
      <c r="Q55" s="298">
        <v>47213710</v>
      </c>
      <c r="R55" s="312">
        <v>32787.298611111109</v>
      </c>
      <c r="S55" s="298">
        <v>111889731</v>
      </c>
      <c r="T55" s="312">
        <v>37025.059894109858</v>
      </c>
      <c r="U55" s="298">
        <v>181956776</v>
      </c>
      <c r="V55" s="312">
        <v>51854.310629809064</v>
      </c>
      <c r="W55" s="298">
        <v>1846782</v>
      </c>
      <c r="X55" s="312">
        <v>52765.2</v>
      </c>
      <c r="Y55" s="298">
        <v>51875028</v>
      </c>
      <c r="Z55" s="312">
        <v>53205.156923076924</v>
      </c>
      <c r="AA55" s="298">
        <v>16167822</v>
      </c>
      <c r="AB55" s="312">
        <v>50055.176470588238</v>
      </c>
      <c r="AC55" s="298">
        <v>78955551</v>
      </c>
      <c r="AD55" s="312">
        <v>54564.997235659983</v>
      </c>
      <c r="AE55" s="298">
        <v>139817353</v>
      </c>
      <c r="AF55" s="312">
        <v>16422.052266854593</v>
      </c>
      <c r="AG55" s="298">
        <v>0</v>
      </c>
      <c r="AH55" s="312" t="e">
        <v>#DIV/0!</v>
      </c>
      <c r="AI55" s="298">
        <v>35200549</v>
      </c>
      <c r="AJ55" s="312">
        <v>31095.891342756182</v>
      </c>
      <c r="AK55" s="298">
        <v>42820882</v>
      </c>
      <c r="AL55" s="312">
        <v>31347.644216691067</v>
      </c>
      <c r="AM55" s="298">
        <v>63966205</v>
      </c>
      <c r="AN55" s="312">
        <v>40925.275111964169</v>
      </c>
      <c r="AO55" s="298">
        <v>67083250</v>
      </c>
      <c r="AP55" s="312">
        <v>59470.966312056735</v>
      </c>
      <c r="AQ55" s="298">
        <v>67083250</v>
      </c>
      <c r="AR55" s="312">
        <v>59470.966312056735</v>
      </c>
      <c r="AS55" s="298">
        <v>72112412</v>
      </c>
      <c r="AT55" s="312">
        <v>35228.340009770392</v>
      </c>
      <c r="AU55" s="298">
        <v>58232967</v>
      </c>
      <c r="AV55" s="312">
        <v>38744.489021956091</v>
      </c>
      <c r="AW55" s="298">
        <v>83639640</v>
      </c>
      <c r="AX55" s="312">
        <v>37658.550202611434</v>
      </c>
      <c r="AY55" s="298">
        <v>21934599</v>
      </c>
      <c r="AZ55" s="312">
        <v>52101.185273159143</v>
      </c>
      <c r="BA55" s="298">
        <v>20299856</v>
      </c>
      <c r="BB55" s="312">
        <v>54277.689839572195</v>
      </c>
      <c r="BC55" s="298">
        <v>73417264</v>
      </c>
      <c r="BD55" s="312">
        <v>38438.358115183248</v>
      </c>
      <c r="BE55" s="298">
        <v>39462444</v>
      </c>
      <c r="BF55" s="312">
        <v>37193.632422243165</v>
      </c>
      <c r="BG55" s="298">
        <v>39962092</v>
      </c>
      <c r="BH55" s="312">
        <v>44451.715239154619</v>
      </c>
      <c r="BI55" s="298">
        <v>21934599</v>
      </c>
      <c r="BJ55" s="312">
        <v>52101.185273159143</v>
      </c>
    </row>
    <row r="56" spans="1:62" x14ac:dyDescent="0.15">
      <c r="A56" s="304">
        <v>49</v>
      </c>
      <c r="B56" s="313" t="s">
        <v>6</v>
      </c>
      <c r="C56" s="315">
        <v>198402</v>
      </c>
      <c r="D56" s="316">
        <v>6613.4</v>
      </c>
      <c r="E56" s="315">
        <v>30708360</v>
      </c>
      <c r="F56" s="316">
        <v>47609.860465116282</v>
      </c>
      <c r="G56" s="315">
        <v>40138663</v>
      </c>
      <c r="H56" s="316">
        <v>30431.131918119787</v>
      </c>
      <c r="I56" s="315">
        <v>145128193</v>
      </c>
      <c r="J56" s="316">
        <v>60419.730641132388</v>
      </c>
      <c r="K56" s="315">
        <v>282787892</v>
      </c>
      <c r="L56" s="316">
        <v>58669.68713692946</v>
      </c>
      <c r="M56" s="315">
        <v>219225</v>
      </c>
      <c r="N56" s="316">
        <v>9531.5217391304341</v>
      </c>
      <c r="O56" s="315">
        <v>22797884</v>
      </c>
      <c r="P56" s="316">
        <v>33724.680473372784</v>
      </c>
      <c r="Q56" s="315">
        <v>60388089</v>
      </c>
      <c r="R56" s="316">
        <v>41936.17291666667</v>
      </c>
      <c r="S56" s="315">
        <v>178289095</v>
      </c>
      <c r="T56" s="316">
        <v>58997.053275976177</v>
      </c>
      <c r="U56" s="315">
        <v>300371397</v>
      </c>
      <c r="V56" s="316">
        <v>85600.284126531769</v>
      </c>
      <c r="W56" s="315">
        <v>347462</v>
      </c>
      <c r="X56" s="316">
        <v>9927.4857142857145</v>
      </c>
      <c r="Y56" s="315">
        <v>52786934</v>
      </c>
      <c r="Z56" s="316">
        <v>54140.44512820513</v>
      </c>
      <c r="AA56" s="315">
        <v>24584669</v>
      </c>
      <c r="AB56" s="316">
        <v>76113.526315789481</v>
      </c>
      <c r="AC56" s="315">
        <v>135172438</v>
      </c>
      <c r="AD56" s="316">
        <v>93415.644782308227</v>
      </c>
      <c r="AE56" s="315">
        <v>293640215</v>
      </c>
      <c r="AF56" s="316">
        <v>34489.102067183463</v>
      </c>
      <c r="AG56" s="315">
        <v>0</v>
      </c>
      <c r="AH56" s="316" t="e">
        <v>#DIV/0!</v>
      </c>
      <c r="AI56" s="315">
        <v>44220709</v>
      </c>
      <c r="AJ56" s="316">
        <v>39064.230565371028</v>
      </c>
      <c r="AK56" s="315">
        <v>60231223</v>
      </c>
      <c r="AL56" s="316">
        <v>44093.13543191801</v>
      </c>
      <c r="AM56" s="315">
        <v>102844995</v>
      </c>
      <c r="AN56" s="316">
        <v>65799.740882917467</v>
      </c>
      <c r="AO56" s="315">
        <v>112956025</v>
      </c>
      <c r="AP56" s="316">
        <v>100138.32003546099</v>
      </c>
      <c r="AQ56" s="315">
        <v>112956025</v>
      </c>
      <c r="AR56" s="316">
        <v>100138.32003546099</v>
      </c>
      <c r="AS56" s="315">
        <v>97956615</v>
      </c>
      <c r="AT56" s="316">
        <v>47853.744504152419</v>
      </c>
      <c r="AU56" s="315">
        <v>98091943</v>
      </c>
      <c r="AV56" s="316">
        <v>65264.100465735195</v>
      </c>
      <c r="AW56" s="315">
        <v>124216276</v>
      </c>
      <c r="AX56" s="316">
        <v>55928.084646555602</v>
      </c>
      <c r="AY56" s="315">
        <v>31306731</v>
      </c>
      <c r="AZ56" s="316">
        <v>74362.781472684088</v>
      </c>
      <c r="BA56" s="315">
        <v>22362987</v>
      </c>
      <c r="BB56" s="316">
        <v>59794.082887700533</v>
      </c>
      <c r="BC56" s="315">
        <v>100337902</v>
      </c>
      <c r="BD56" s="316">
        <v>52532.932984293191</v>
      </c>
      <c r="BE56" s="315">
        <v>52885113</v>
      </c>
      <c r="BF56" s="316">
        <v>49844.592836946278</v>
      </c>
      <c r="BG56" s="315">
        <v>60272490</v>
      </c>
      <c r="BH56" s="316">
        <v>67043.926585094552</v>
      </c>
      <c r="BI56" s="315">
        <v>31306731</v>
      </c>
      <c r="BJ56" s="316">
        <v>74362.781472684088</v>
      </c>
    </row>
    <row r="57" spans="1:62" x14ac:dyDescent="0.15">
      <c r="A57" s="296"/>
      <c r="B57" s="311" t="s">
        <v>5</v>
      </c>
      <c r="C57" s="298"/>
      <c r="D57" s="312"/>
      <c r="E57" s="298"/>
      <c r="F57" s="312"/>
      <c r="G57" s="298"/>
      <c r="H57" s="312"/>
      <c r="I57" s="298"/>
      <c r="J57" s="312"/>
      <c r="K57" s="298"/>
      <c r="L57" s="312"/>
      <c r="M57" s="298"/>
      <c r="N57" s="312"/>
      <c r="O57" s="298"/>
      <c r="P57" s="312"/>
      <c r="Q57" s="298"/>
      <c r="R57" s="312"/>
      <c r="S57" s="298"/>
      <c r="T57" s="312"/>
      <c r="U57" s="298"/>
      <c r="V57" s="312"/>
      <c r="W57" s="298"/>
      <c r="X57" s="312"/>
      <c r="Y57" s="298"/>
      <c r="Z57" s="312"/>
      <c r="AA57" s="298"/>
      <c r="AB57" s="312"/>
      <c r="AC57" s="298"/>
      <c r="AD57" s="312"/>
      <c r="AE57" s="298"/>
      <c r="AF57" s="312"/>
      <c r="AG57" s="298"/>
      <c r="AH57" s="312"/>
      <c r="AI57" s="298"/>
      <c r="AJ57" s="312"/>
      <c r="AK57" s="298"/>
      <c r="AL57" s="312"/>
      <c r="AM57" s="298"/>
      <c r="AN57" s="312"/>
      <c r="AO57" s="298"/>
      <c r="AP57" s="312"/>
      <c r="AQ57" s="298"/>
      <c r="AR57" s="312"/>
      <c r="AS57" s="298"/>
      <c r="AT57" s="312"/>
      <c r="AU57" s="298"/>
      <c r="AV57" s="312"/>
      <c r="AW57" s="298"/>
      <c r="AX57" s="312"/>
      <c r="AY57" s="298"/>
      <c r="AZ57" s="312"/>
      <c r="BA57" s="298"/>
      <c r="BB57" s="312"/>
      <c r="BC57" s="298"/>
      <c r="BD57" s="312"/>
      <c r="BE57" s="298"/>
      <c r="BF57" s="312"/>
      <c r="BG57" s="298"/>
      <c r="BH57" s="312"/>
      <c r="BI57" s="298"/>
      <c r="BJ57" s="312"/>
    </row>
    <row r="58" spans="1:62" x14ac:dyDescent="0.15">
      <c r="A58" s="296">
        <v>50</v>
      </c>
      <c r="B58" s="311" t="s">
        <v>4</v>
      </c>
      <c r="C58" s="298">
        <v>-603777</v>
      </c>
      <c r="D58" s="312">
        <v>-20125.900000000001</v>
      </c>
      <c r="E58" s="298">
        <v>189360</v>
      </c>
      <c r="F58" s="312">
        <v>293.58139534883719</v>
      </c>
      <c r="G58" s="298">
        <v>-3504080</v>
      </c>
      <c r="H58" s="312">
        <v>-2656.6186504927978</v>
      </c>
      <c r="I58" s="298">
        <v>-7764526</v>
      </c>
      <c r="J58" s="312">
        <v>-3232.5253955037469</v>
      </c>
      <c r="K58" s="298">
        <v>-23808999</v>
      </c>
      <c r="L58" s="312">
        <v>-4939.6263485477175</v>
      </c>
      <c r="M58" s="298">
        <v>-172997</v>
      </c>
      <c r="N58" s="312">
        <v>-7521.608695652174</v>
      </c>
      <c r="O58" s="298">
        <v>-671003</v>
      </c>
      <c r="P58" s="312">
        <v>-992.60798816568047</v>
      </c>
      <c r="Q58" s="298">
        <v>-4027903</v>
      </c>
      <c r="R58" s="312">
        <v>-2797.1548611111111</v>
      </c>
      <c r="S58" s="298">
        <v>-5554777</v>
      </c>
      <c r="T58" s="312">
        <v>-1838.1128391793513</v>
      </c>
      <c r="U58" s="298">
        <v>-14732117</v>
      </c>
      <c r="V58" s="312">
        <v>-4198.3804502707326</v>
      </c>
      <c r="W58" s="298">
        <v>-1461661</v>
      </c>
      <c r="X58" s="312">
        <v>-41761.742857142854</v>
      </c>
      <c r="Y58" s="298">
        <v>-12397641</v>
      </c>
      <c r="Z58" s="312">
        <v>-12715.529230769231</v>
      </c>
      <c r="AA58" s="298">
        <v>-5728101</v>
      </c>
      <c r="AB58" s="312">
        <v>-17734.058823529413</v>
      </c>
      <c r="AC58" s="298">
        <v>-2080674</v>
      </c>
      <c r="AD58" s="312">
        <v>-1437.922598479613</v>
      </c>
      <c r="AE58" s="298">
        <v>6200941</v>
      </c>
      <c r="AF58" s="312">
        <v>728.32287996241485</v>
      </c>
      <c r="AG58" s="298">
        <v>0</v>
      </c>
      <c r="AH58" s="312" t="e">
        <v>#DIV/0!</v>
      </c>
      <c r="AI58" s="298">
        <v>-8573148</v>
      </c>
      <c r="AJ58" s="312">
        <v>-7573.452296819788</v>
      </c>
      <c r="AK58" s="298">
        <v>-10651411</v>
      </c>
      <c r="AL58" s="312">
        <v>-7797.5190336749638</v>
      </c>
      <c r="AM58" s="298">
        <v>-13138058</v>
      </c>
      <c r="AN58" s="312">
        <v>-8405.6673064619317</v>
      </c>
      <c r="AO58" s="298">
        <v>-2853796</v>
      </c>
      <c r="AP58" s="312">
        <v>-2529.9609929078015</v>
      </c>
      <c r="AQ58" s="298">
        <v>-2853796</v>
      </c>
      <c r="AR58" s="312">
        <v>-2529.9609929078015</v>
      </c>
      <c r="AS58" s="298">
        <v>-12903762</v>
      </c>
      <c r="AT58" s="312">
        <v>-6303.7430385930629</v>
      </c>
      <c r="AU58" s="298">
        <v>-6705758</v>
      </c>
      <c r="AV58" s="312">
        <v>-4461.5821689953427</v>
      </c>
      <c r="AW58" s="298">
        <v>-12164907</v>
      </c>
      <c r="AX58" s="312">
        <v>-5477.2206213417376</v>
      </c>
      <c r="AY58" s="298">
        <v>-1799305</v>
      </c>
      <c r="AZ58" s="312">
        <v>-4273.8836104513066</v>
      </c>
      <c r="BA58" s="298">
        <v>-3350828</v>
      </c>
      <c r="BB58" s="312">
        <v>-8959.4331550802144</v>
      </c>
      <c r="BC58" s="298">
        <v>-14817321</v>
      </c>
      <c r="BD58" s="312">
        <v>-7757.7596858638744</v>
      </c>
      <c r="BE58" s="298">
        <v>-5634505</v>
      </c>
      <c r="BF58" s="312">
        <v>-5310.5607917059378</v>
      </c>
      <c r="BG58" s="298">
        <v>-9672029</v>
      </c>
      <c r="BH58" s="312">
        <v>-10758.652947719689</v>
      </c>
      <c r="BI58" s="298">
        <v>-1799305</v>
      </c>
      <c r="BJ58" s="312">
        <v>-4273.8836104513066</v>
      </c>
    </row>
    <row r="59" spans="1:62" ht="14" thickBot="1" x14ac:dyDescent="0.2">
      <c r="A59" s="317">
        <v>51</v>
      </c>
      <c r="B59" s="318" t="s">
        <v>3</v>
      </c>
      <c r="C59" s="319">
        <v>0.24732883807728698</v>
      </c>
      <c r="D59" s="320"/>
      <c r="E59" s="319">
        <v>1.0141972236990171</v>
      </c>
      <c r="F59" s="320"/>
      <c r="G59" s="319">
        <v>0.82699541592754233</v>
      </c>
      <c r="H59" s="320"/>
      <c r="I59" s="319">
        <v>0.79129226787817186</v>
      </c>
      <c r="J59" s="320"/>
      <c r="K59" s="319">
        <v>0.68948860522641997</v>
      </c>
      <c r="L59" s="320"/>
      <c r="M59" s="319">
        <v>0.55893091157558727</v>
      </c>
      <c r="N59" s="320"/>
      <c r="O59" s="319">
        <v>0.95129034281282421</v>
      </c>
      <c r="P59" s="320"/>
      <c r="Q59" s="319">
        <v>0.83329957582245962</v>
      </c>
      <c r="R59" s="320"/>
      <c r="S59" s="319">
        <v>0.88390836355215796</v>
      </c>
      <c r="T59" s="320"/>
      <c r="U59" s="319">
        <v>0.73753191165791965</v>
      </c>
      <c r="V59" s="320"/>
      <c r="W59" s="319">
        <v>0.18117991218330587</v>
      </c>
      <c r="X59" s="320"/>
      <c r="Y59" s="319">
        <v>0.44676453865952942</v>
      </c>
      <c r="Z59" s="320"/>
      <c r="AA59" s="319">
        <v>0.28051857518058942</v>
      </c>
      <c r="AB59" s="320"/>
      <c r="AC59" s="319">
        <v>0.91495029903475744</v>
      </c>
      <c r="AD59" s="320"/>
      <c r="AE59" s="319">
        <v>1.1287130198744675</v>
      </c>
      <c r="AF59" s="320"/>
      <c r="AG59" s="319" t="e">
        <v>#DIV/0!</v>
      </c>
      <c r="AH59" s="320"/>
      <c r="AI59" s="319">
        <v>0.61252611437608606</v>
      </c>
      <c r="AJ59" s="320"/>
      <c r="AK59" s="319">
        <v>0.52127016045213082</v>
      </c>
      <c r="AL59" s="320"/>
      <c r="AM59" s="319">
        <v>0.54729787678541841</v>
      </c>
      <c r="AN59" s="320"/>
      <c r="AO59" s="319">
        <v>0.87084566474297131</v>
      </c>
      <c r="AP59" s="320"/>
      <c r="AQ59" s="319">
        <v>0.87084566474297131</v>
      </c>
      <c r="AR59" s="320"/>
      <c r="AS59" s="319">
        <v>0.67911389836456482</v>
      </c>
      <c r="AT59" s="320"/>
      <c r="AU59" s="319">
        <v>0.72363087457046049</v>
      </c>
      <c r="AV59" s="320"/>
      <c r="AW59" s="319">
        <v>0.6823373599894148</v>
      </c>
      <c r="AX59" s="320"/>
      <c r="AY59" s="319">
        <v>0.71961410231337586</v>
      </c>
      <c r="AZ59" s="320"/>
      <c r="BA59" s="319">
        <v>0.69822973973838387</v>
      </c>
      <c r="BB59" s="320"/>
      <c r="BC59" s="319">
        <v>0.61325099153673057</v>
      </c>
      <c r="BD59" s="320"/>
      <c r="BE59" s="319">
        <v>0.677741678370409</v>
      </c>
      <c r="BF59" s="320"/>
      <c r="BG59" s="319">
        <v>0.37371221903740787</v>
      </c>
      <c r="BH59" s="320"/>
      <c r="BI59" s="319">
        <v>0.71961410231337586</v>
      </c>
      <c r="BJ59" s="320"/>
    </row>
    <row r="60" spans="1:62" x14ac:dyDescent="0.15">
      <c r="A60" s="296">
        <v>52</v>
      </c>
      <c r="B60" s="311" t="s">
        <v>416</v>
      </c>
      <c r="C60" s="298">
        <v>0</v>
      </c>
      <c r="D60" s="310" t="s">
        <v>417</v>
      </c>
      <c r="E60" s="298">
        <v>0</v>
      </c>
      <c r="F60" s="310" t="s">
        <v>417</v>
      </c>
      <c r="G60" s="298">
        <v>0</v>
      </c>
      <c r="H60" s="310" t="s">
        <v>417</v>
      </c>
      <c r="I60" s="298">
        <v>0</v>
      </c>
      <c r="J60" s="310" t="s">
        <v>417</v>
      </c>
      <c r="K60" s="298">
        <v>0</v>
      </c>
      <c r="L60" s="310" t="s">
        <v>417</v>
      </c>
      <c r="M60" s="298">
        <v>0</v>
      </c>
      <c r="N60" s="310" t="s">
        <v>417</v>
      </c>
      <c r="O60" s="298">
        <v>0</v>
      </c>
      <c r="P60" s="310" t="s">
        <v>417</v>
      </c>
      <c r="Q60" s="298">
        <v>0</v>
      </c>
      <c r="R60" s="310" t="s">
        <v>417</v>
      </c>
      <c r="S60" s="298">
        <v>0</v>
      </c>
      <c r="T60" s="310" t="s">
        <v>417</v>
      </c>
      <c r="U60" s="298">
        <v>0</v>
      </c>
      <c r="V60" s="310" t="s">
        <v>417</v>
      </c>
      <c r="W60" s="298">
        <v>0</v>
      </c>
      <c r="X60" s="310" t="s">
        <v>417</v>
      </c>
      <c r="Y60" s="298">
        <v>0</v>
      </c>
      <c r="Z60" s="310" t="s">
        <v>417</v>
      </c>
      <c r="AA60" s="298">
        <v>0</v>
      </c>
      <c r="AB60" s="310" t="s">
        <v>417</v>
      </c>
      <c r="AC60" s="298">
        <v>0</v>
      </c>
      <c r="AD60" s="310" t="s">
        <v>417</v>
      </c>
      <c r="AE60" s="298">
        <v>0</v>
      </c>
      <c r="AF60" s="310" t="s">
        <v>417</v>
      </c>
      <c r="AG60" s="298">
        <v>0</v>
      </c>
      <c r="AH60" s="310" t="s">
        <v>417</v>
      </c>
      <c r="AI60" s="298">
        <v>0</v>
      </c>
      <c r="AJ60" s="310" t="s">
        <v>417</v>
      </c>
      <c r="AK60" s="298">
        <v>0</v>
      </c>
      <c r="AL60" s="310" t="s">
        <v>417</v>
      </c>
      <c r="AM60" s="298">
        <v>0</v>
      </c>
      <c r="AN60" s="310" t="s">
        <v>417</v>
      </c>
      <c r="AO60" s="298">
        <v>0</v>
      </c>
      <c r="AP60" s="310" t="s">
        <v>417</v>
      </c>
      <c r="AQ60" s="298">
        <v>0</v>
      </c>
      <c r="AR60" s="310" t="s">
        <v>417</v>
      </c>
      <c r="AS60" s="298">
        <v>0</v>
      </c>
      <c r="AT60" s="310" t="s">
        <v>417</v>
      </c>
      <c r="AU60" s="298">
        <v>0</v>
      </c>
      <c r="AV60" s="310" t="s">
        <v>417</v>
      </c>
      <c r="AW60" s="298">
        <v>0</v>
      </c>
      <c r="AX60" s="310" t="s">
        <v>417</v>
      </c>
      <c r="AY60" s="298">
        <v>0</v>
      </c>
      <c r="AZ60" s="310" t="s">
        <v>417</v>
      </c>
      <c r="BA60" s="298">
        <v>0</v>
      </c>
      <c r="BB60" s="310" t="s">
        <v>417</v>
      </c>
      <c r="BC60" s="298">
        <v>0</v>
      </c>
      <c r="BD60" s="310" t="s">
        <v>417</v>
      </c>
      <c r="BE60" s="298">
        <v>0</v>
      </c>
      <c r="BF60" s="310" t="s">
        <v>417</v>
      </c>
      <c r="BG60" s="298">
        <v>0</v>
      </c>
      <c r="BH60" s="310" t="s">
        <v>417</v>
      </c>
      <c r="BI60" s="298">
        <v>0</v>
      </c>
      <c r="BJ60" s="310" t="s">
        <v>417</v>
      </c>
    </row>
    <row r="61" spans="1:62" x14ac:dyDescent="0.15">
      <c r="A61" s="321">
        <v>53</v>
      </c>
      <c r="B61" s="322" t="s">
        <v>2</v>
      </c>
      <c r="C61" s="323">
        <v>0</v>
      </c>
      <c r="D61" s="324" t="e">
        <v>#DIV/0!</v>
      </c>
      <c r="E61" s="323">
        <v>0</v>
      </c>
      <c r="F61" s="324" t="e">
        <v>#DIV/0!</v>
      </c>
      <c r="G61" s="323">
        <v>5229897</v>
      </c>
      <c r="H61" s="324" t="e">
        <v>#DIV/0!</v>
      </c>
      <c r="I61" s="323">
        <v>0</v>
      </c>
      <c r="J61" s="324" t="e">
        <v>#DIV/0!</v>
      </c>
      <c r="K61" s="323">
        <v>46225939</v>
      </c>
      <c r="L61" s="324" t="e">
        <v>#DIV/0!</v>
      </c>
      <c r="M61" s="323">
        <v>0</v>
      </c>
      <c r="N61" s="324" t="e">
        <v>#DIV/0!</v>
      </c>
      <c r="O61" s="323">
        <v>4655487</v>
      </c>
      <c r="P61" s="324" t="e">
        <v>#DIV/0!</v>
      </c>
      <c r="Q61" s="323">
        <v>8601298</v>
      </c>
      <c r="R61" s="324" t="e">
        <v>#DIV/0!</v>
      </c>
      <c r="S61" s="323">
        <v>12184391</v>
      </c>
      <c r="T61" s="324" t="e">
        <v>#DIV/0!</v>
      </c>
      <c r="U61" s="323">
        <v>4053034</v>
      </c>
      <c r="V61" s="324" t="e">
        <v>#DIV/0!</v>
      </c>
      <c r="W61" s="323">
        <v>0</v>
      </c>
      <c r="X61" s="324" t="e">
        <v>#DIV/0!</v>
      </c>
      <c r="Y61" s="323">
        <v>14720260</v>
      </c>
      <c r="Z61" s="324" t="e">
        <v>#DIV/0!</v>
      </c>
      <c r="AA61" s="323">
        <v>5492064</v>
      </c>
      <c r="AB61" s="324" t="e">
        <v>#DIV/0!</v>
      </c>
      <c r="AC61" s="323">
        <v>6401442</v>
      </c>
      <c r="AD61" s="324" t="e">
        <v>#DIV/0!</v>
      </c>
      <c r="AE61" s="323">
        <v>8222745</v>
      </c>
      <c r="AF61" s="324" t="e">
        <v>#DIV/0!</v>
      </c>
      <c r="AG61" s="323">
        <v>0</v>
      </c>
      <c r="AH61" s="324" t="e">
        <v>#DIV/0!</v>
      </c>
      <c r="AI61" s="323">
        <v>6683166</v>
      </c>
      <c r="AJ61" s="324" t="e">
        <v>#DIV/0!</v>
      </c>
      <c r="AK61" s="323">
        <v>7250312</v>
      </c>
      <c r="AL61" s="324" t="e">
        <v>#DIV/0!</v>
      </c>
      <c r="AM61" s="323">
        <v>8599716</v>
      </c>
      <c r="AN61" s="324" t="e">
        <v>#DIV/0!</v>
      </c>
      <c r="AO61" s="323">
        <v>6306142</v>
      </c>
      <c r="AP61" s="324" t="e">
        <v>#DIV/0!</v>
      </c>
      <c r="AQ61" s="323">
        <v>6306142</v>
      </c>
      <c r="AR61" s="324" t="e">
        <v>#DIV/0!</v>
      </c>
      <c r="AS61" s="323">
        <v>50409646</v>
      </c>
      <c r="AT61" s="324" t="e">
        <v>#DIV/0!</v>
      </c>
      <c r="AU61" s="323">
        <v>12108061</v>
      </c>
      <c r="AV61" s="324" t="e">
        <v>#DIV/0!</v>
      </c>
      <c r="AW61" s="323">
        <v>9052429</v>
      </c>
      <c r="AX61" s="324" t="e">
        <v>#DIV/0!</v>
      </c>
      <c r="AY61" s="323">
        <v>0</v>
      </c>
      <c r="AZ61" s="324" t="e">
        <v>#DIV/0!</v>
      </c>
      <c r="BA61" s="323">
        <v>11215820</v>
      </c>
      <c r="BB61" s="324" t="e">
        <v>#DIV/0!</v>
      </c>
      <c r="BC61" s="323">
        <v>41201853</v>
      </c>
      <c r="BD61" s="324" t="e">
        <v>#DIV/0!</v>
      </c>
      <c r="BE61" s="323">
        <v>9784827</v>
      </c>
      <c r="BF61" s="324" t="e">
        <v>#DIV/0!</v>
      </c>
      <c r="BG61" s="323">
        <v>12247159</v>
      </c>
      <c r="BH61" s="324" t="e">
        <v>#DIV/0!</v>
      </c>
      <c r="BI61" s="323">
        <v>0</v>
      </c>
      <c r="BJ61" s="324" t="e">
        <v>#DIV/0!</v>
      </c>
    </row>
    <row r="62" spans="1:62" x14ac:dyDescent="0.15">
      <c r="A62" s="304">
        <v>54</v>
      </c>
      <c r="B62" s="311" t="s">
        <v>1</v>
      </c>
      <c r="C62" s="298">
        <v>0</v>
      </c>
      <c r="D62" s="299" t="e">
        <v>#DIV/0!</v>
      </c>
      <c r="E62" s="298">
        <v>0</v>
      </c>
      <c r="F62" s="299" t="e">
        <v>#DIV/0!</v>
      </c>
      <c r="G62" s="298">
        <v>3835745</v>
      </c>
      <c r="H62" s="299" t="e">
        <v>#DIV/0!</v>
      </c>
      <c r="I62" s="298">
        <v>0</v>
      </c>
      <c r="J62" s="299" t="e">
        <v>#DIV/0!</v>
      </c>
      <c r="K62" s="298">
        <v>44282204</v>
      </c>
      <c r="L62" s="299" t="e">
        <v>#DIV/0!</v>
      </c>
      <c r="M62" s="298">
        <v>0</v>
      </c>
      <c r="N62" s="299" t="e">
        <v>#DIV/0!</v>
      </c>
      <c r="O62" s="298">
        <v>3286005</v>
      </c>
      <c r="P62" s="299" t="e">
        <v>#DIV/0!</v>
      </c>
      <c r="Q62" s="298">
        <v>6290867</v>
      </c>
      <c r="R62" s="299" t="e">
        <v>#DIV/0!</v>
      </c>
      <c r="S62" s="298">
        <v>8280120</v>
      </c>
      <c r="T62" s="299" t="e">
        <v>#DIV/0!</v>
      </c>
      <c r="U62" s="298">
        <v>4786878</v>
      </c>
      <c r="V62" s="299" t="e">
        <v>#DIV/0!</v>
      </c>
      <c r="W62" s="298">
        <v>0</v>
      </c>
      <c r="X62" s="299" t="e">
        <v>#DIV/0!</v>
      </c>
      <c r="Y62" s="298">
        <v>15701976</v>
      </c>
      <c r="Z62" s="299" t="e">
        <v>#DIV/0!</v>
      </c>
      <c r="AA62" s="298">
        <v>5103248</v>
      </c>
      <c r="AB62" s="299" t="e">
        <v>#DIV/0!</v>
      </c>
      <c r="AC62" s="298">
        <v>4545715</v>
      </c>
      <c r="AD62" s="299" t="e">
        <v>#DIV/0!</v>
      </c>
      <c r="AE62" s="298">
        <v>6992915</v>
      </c>
      <c r="AF62" s="299" t="e">
        <v>#DIV/0!</v>
      </c>
      <c r="AG62" s="298">
        <v>0</v>
      </c>
      <c r="AH62" s="299" t="e">
        <v>#DIV/0!</v>
      </c>
      <c r="AI62" s="298">
        <v>6234499</v>
      </c>
      <c r="AJ62" s="299" t="e">
        <v>#DIV/0!</v>
      </c>
      <c r="AK62" s="298">
        <v>6235000</v>
      </c>
      <c r="AL62" s="299" t="e">
        <v>#DIV/0!</v>
      </c>
      <c r="AM62" s="298">
        <v>7299164</v>
      </c>
      <c r="AN62" s="299" t="e">
        <v>#DIV/0!</v>
      </c>
      <c r="AO62" s="298">
        <v>4926816</v>
      </c>
      <c r="AP62" s="299" t="e">
        <v>#DIV/0!</v>
      </c>
      <c r="AQ62" s="298">
        <v>4926816</v>
      </c>
      <c r="AR62" s="299" t="e">
        <v>#DIV/0!</v>
      </c>
      <c r="AS62" s="298">
        <v>44873612</v>
      </c>
      <c r="AT62" s="299" t="e">
        <v>#DIV/0!</v>
      </c>
      <c r="AU62" s="298">
        <v>11362296</v>
      </c>
      <c r="AV62" s="299" t="e">
        <v>#DIV/0!</v>
      </c>
      <c r="AW62" s="298">
        <v>8665509</v>
      </c>
      <c r="AX62" s="299" t="e">
        <v>#DIV/0!</v>
      </c>
      <c r="AY62" s="298">
        <v>0</v>
      </c>
      <c r="AZ62" s="299" t="e">
        <v>#DIV/0!</v>
      </c>
      <c r="BA62" s="298">
        <v>9325843</v>
      </c>
      <c r="BB62" s="299" t="e">
        <v>#DIV/0!</v>
      </c>
      <c r="BC62" s="298">
        <v>35711276</v>
      </c>
      <c r="BD62" s="299" t="e">
        <v>#DIV/0!</v>
      </c>
      <c r="BE62" s="298">
        <v>7897778</v>
      </c>
      <c r="BF62" s="299" t="e">
        <v>#DIV/0!</v>
      </c>
      <c r="BG62" s="298">
        <v>11543680</v>
      </c>
      <c r="BH62" s="299" t="e">
        <v>#DIV/0!</v>
      </c>
      <c r="BI62" s="298">
        <v>0</v>
      </c>
      <c r="BJ62" s="299" t="e">
        <v>#DIV/0!</v>
      </c>
    </row>
    <row r="63" spans="1:62" x14ac:dyDescent="0.15">
      <c r="A63" s="321">
        <v>55</v>
      </c>
      <c r="B63" s="325" t="s">
        <v>0</v>
      </c>
      <c r="C63" s="315">
        <v>0</v>
      </c>
      <c r="D63" s="326" t="e">
        <v>#DIV/0!</v>
      </c>
      <c r="E63" s="315">
        <v>0</v>
      </c>
      <c r="F63" s="326" t="e">
        <v>#DIV/0!</v>
      </c>
      <c r="G63" s="315">
        <v>1394152</v>
      </c>
      <c r="H63" s="326" t="e">
        <v>#DIV/0!</v>
      </c>
      <c r="I63" s="315">
        <v>0</v>
      </c>
      <c r="J63" s="326" t="e">
        <v>#DIV/0!</v>
      </c>
      <c r="K63" s="315">
        <v>1943735</v>
      </c>
      <c r="L63" s="326" t="e">
        <v>#DIV/0!</v>
      </c>
      <c r="M63" s="315">
        <v>0</v>
      </c>
      <c r="N63" s="326" t="e">
        <v>#DIV/0!</v>
      </c>
      <c r="O63" s="315">
        <v>1369482</v>
      </c>
      <c r="P63" s="326" t="e">
        <v>#DIV/0!</v>
      </c>
      <c r="Q63" s="315">
        <v>2310431</v>
      </c>
      <c r="R63" s="326" t="e">
        <v>#DIV/0!</v>
      </c>
      <c r="S63" s="315">
        <v>3904271</v>
      </c>
      <c r="T63" s="326" t="e">
        <v>#DIV/0!</v>
      </c>
      <c r="U63" s="315">
        <v>-733844</v>
      </c>
      <c r="V63" s="326" t="e">
        <v>#DIV/0!</v>
      </c>
      <c r="W63" s="315">
        <v>0</v>
      </c>
      <c r="X63" s="326" t="e">
        <v>#DIV/0!</v>
      </c>
      <c r="Y63" s="315">
        <v>-981716</v>
      </c>
      <c r="Z63" s="326" t="e">
        <v>#DIV/0!</v>
      </c>
      <c r="AA63" s="315">
        <v>388816</v>
      </c>
      <c r="AB63" s="326" t="e">
        <v>#DIV/0!</v>
      </c>
      <c r="AC63" s="315">
        <v>1855727</v>
      </c>
      <c r="AD63" s="326" t="e">
        <v>#DIV/0!</v>
      </c>
      <c r="AE63" s="315">
        <v>1229830</v>
      </c>
      <c r="AF63" s="326" t="e">
        <v>#DIV/0!</v>
      </c>
      <c r="AG63" s="315">
        <v>0</v>
      </c>
      <c r="AH63" s="326" t="e">
        <v>#DIV/0!</v>
      </c>
      <c r="AI63" s="315">
        <v>448667</v>
      </c>
      <c r="AJ63" s="326" t="e">
        <v>#DIV/0!</v>
      </c>
      <c r="AK63" s="315">
        <v>1015312</v>
      </c>
      <c r="AL63" s="326" t="e">
        <v>#DIV/0!</v>
      </c>
      <c r="AM63" s="315">
        <v>1300552</v>
      </c>
      <c r="AN63" s="326" t="e">
        <v>#DIV/0!</v>
      </c>
      <c r="AO63" s="315">
        <v>1379326</v>
      </c>
      <c r="AP63" s="326" t="e">
        <v>#DIV/0!</v>
      </c>
      <c r="AQ63" s="315">
        <v>1379326</v>
      </c>
      <c r="AR63" s="326" t="e">
        <v>#DIV/0!</v>
      </c>
      <c r="AS63" s="315">
        <v>5536034</v>
      </c>
      <c r="AT63" s="326" t="e">
        <v>#DIV/0!</v>
      </c>
      <c r="AU63" s="315">
        <v>745765</v>
      </c>
      <c r="AV63" s="326" t="e">
        <v>#DIV/0!</v>
      </c>
      <c r="AW63" s="315">
        <v>386920</v>
      </c>
      <c r="AX63" s="326" t="e">
        <v>#DIV/0!</v>
      </c>
      <c r="AY63" s="315">
        <v>0</v>
      </c>
      <c r="AZ63" s="326" t="e">
        <v>#DIV/0!</v>
      </c>
      <c r="BA63" s="315">
        <v>1889977</v>
      </c>
      <c r="BB63" s="326" t="e">
        <v>#DIV/0!</v>
      </c>
      <c r="BC63" s="315">
        <v>5490577</v>
      </c>
      <c r="BD63" s="326" t="e">
        <v>#DIV/0!</v>
      </c>
      <c r="BE63" s="315">
        <v>1887049</v>
      </c>
      <c r="BF63" s="326" t="e">
        <v>#DIV/0!</v>
      </c>
      <c r="BG63" s="315">
        <v>703479</v>
      </c>
      <c r="BH63" s="326" t="e">
        <v>#DIV/0!</v>
      </c>
      <c r="BI63" s="315">
        <v>0</v>
      </c>
      <c r="BJ63" s="326" t="e">
        <v>#DIV/0!</v>
      </c>
    </row>
    <row r="64" spans="1:62" x14ac:dyDescent="0.15">
      <c r="A64" s="327">
        <v>56</v>
      </c>
      <c r="B64" s="325" t="s">
        <v>418</v>
      </c>
      <c r="C64" s="315">
        <v>0</v>
      </c>
      <c r="D64" s="326"/>
      <c r="E64" s="315">
        <v>28530</v>
      </c>
      <c r="F64" s="326"/>
      <c r="G64" s="315">
        <v>127065</v>
      </c>
      <c r="H64" s="326"/>
      <c r="I64" s="315">
        <v>22560</v>
      </c>
      <c r="J64" s="326"/>
      <c r="K64" s="315">
        <v>-202391</v>
      </c>
      <c r="L64" s="326"/>
      <c r="M64" s="315">
        <v>0</v>
      </c>
      <c r="N64" s="326"/>
      <c r="O64" s="315">
        <v>1423</v>
      </c>
      <c r="P64" s="326"/>
      <c r="Q64" s="315">
        <v>27280</v>
      </c>
      <c r="R64" s="326"/>
      <c r="S64" s="315">
        <v>20495</v>
      </c>
      <c r="T64" s="326"/>
      <c r="U64" s="315">
        <v>155430</v>
      </c>
      <c r="V64" s="326"/>
      <c r="W64" s="315">
        <v>27540</v>
      </c>
      <c r="X64" s="326"/>
      <c r="Y64" s="315">
        <v>0</v>
      </c>
      <c r="Z64" s="326"/>
      <c r="AA64" s="315">
        <v>0</v>
      </c>
      <c r="AB64" s="326"/>
      <c r="AC64" s="315">
        <v>226548</v>
      </c>
      <c r="AD64" s="326"/>
      <c r="AE64" s="315">
        <v>43851</v>
      </c>
      <c r="AF64" s="326"/>
      <c r="AG64" s="315">
        <v>0</v>
      </c>
      <c r="AH64" s="326"/>
      <c r="AI64" s="315">
        <v>223946</v>
      </c>
      <c r="AJ64" s="326"/>
      <c r="AK64" s="315">
        <v>201202</v>
      </c>
      <c r="AL64" s="326"/>
      <c r="AM64" s="315">
        <v>120132</v>
      </c>
      <c r="AN64" s="326"/>
      <c r="AO64" s="315">
        <v>207934</v>
      </c>
      <c r="AP64" s="326"/>
      <c r="AQ64" s="315">
        <v>207934</v>
      </c>
      <c r="AR64" s="326"/>
      <c r="AS64" s="315">
        <v>124764</v>
      </c>
      <c r="AT64" s="326"/>
      <c r="AU64" s="315">
        <v>-11929</v>
      </c>
      <c r="AV64" s="326"/>
      <c r="AW64" s="315">
        <v>426107</v>
      </c>
      <c r="AX64" s="326"/>
      <c r="AY64" s="315">
        <v>0</v>
      </c>
      <c r="AZ64" s="326"/>
      <c r="BA64" s="315">
        <v>-33882</v>
      </c>
      <c r="BB64" s="326"/>
      <c r="BC64" s="315">
        <v>368525</v>
      </c>
      <c r="BD64" s="326"/>
      <c r="BE64" s="315">
        <v>58762</v>
      </c>
      <c r="BF64" s="326"/>
      <c r="BG64" s="315">
        <v>-32268</v>
      </c>
      <c r="BH64" s="326"/>
      <c r="BI64" s="315">
        <v>0</v>
      </c>
      <c r="BJ64" s="326"/>
    </row>
  </sheetData>
  <sheetProtection sheet="1" objects="1" scenarios="1" formatCells="0" formatColumns="0" formatRows="0"/>
  <mergeCells count="30">
    <mergeCell ref="BI2:BJ2"/>
    <mergeCell ref="AM2:AN2"/>
    <mergeCell ref="AO2:AP2"/>
    <mergeCell ref="AQ2:AR2"/>
    <mergeCell ref="AS2:AT2"/>
    <mergeCell ref="AU2:AV2"/>
    <mergeCell ref="AW2:AX2"/>
    <mergeCell ref="AY2:AZ2"/>
    <mergeCell ref="BA2:BB2"/>
    <mergeCell ref="BC2:BD2"/>
    <mergeCell ref="BE2:BF2"/>
    <mergeCell ref="BG2:BH2"/>
    <mergeCell ref="AK2:AL2"/>
    <mergeCell ref="O2:P2"/>
    <mergeCell ref="Q2:R2"/>
    <mergeCell ref="S2:T2"/>
    <mergeCell ref="U2:V2"/>
    <mergeCell ref="W2:X2"/>
    <mergeCell ref="Y2:Z2"/>
    <mergeCell ref="AA2:AB2"/>
    <mergeCell ref="AC2:AD2"/>
    <mergeCell ref="AE2:AF2"/>
    <mergeCell ref="AG2:AH2"/>
    <mergeCell ref="AI2:AJ2"/>
    <mergeCell ref="M2:N2"/>
    <mergeCell ref="C2:D2"/>
    <mergeCell ref="E2:F2"/>
    <mergeCell ref="G2:H2"/>
    <mergeCell ref="I2:J2"/>
    <mergeCell ref="K2:L2"/>
  </mergeCell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02"/>
  <sheetViews>
    <sheetView workbookViewId="0">
      <selection activeCell="D3" sqref="D3"/>
    </sheetView>
  </sheetViews>
  <sheetFormatPr baseColWidth="10" defaultColWidth="10.83203125" defaultRowHeight="13" x14ac:dyDescent="0.15"/>
  <cols>
    <col min="1" max="1" width="19.1640625" customWidth="1"/>
    <col min="2" max="2" width="21.83203125" customWidth="1"/>
  </cols>
  <sheetData>
    <row r="1" spans="1:12" ht="19" thickBot="1" x14ac:dyDescent="0.25">
      <c r="A1" s="332" t="s">
        <v>463</v>
      </c>
      <c r="B1" s="331"/>
      <c r="C1" s="331"/>
      <c r="D1" s="508" t="s">
        <v>548</v>
      </c>
      <c r="E1" s="508" t="s">
        <v>549</v>
      </c>
      <c r="F1" s="331"/>
      <c r="G1" s="331"/>
      <c r="H1" s="331"/>
      <c r="I1" s="331"/>
      <c r="J1" s="331"/>
      <c r="K1" s="331"/>
      <c r="L1" s="331"/>
    </row>
    <row r="2" spans="1:12" x14ac:dyDescent="0.15">
      <c r="A2" s="333" t="s">
        <v>464</v>
      </c>
      <c r="B2" s="334"/>
      <c r="C2" s="335"/>
      <c r="D2" s="336">
        <f>aarstal</f>
        <v>2018</v>
      </c>
      <c r="E2" s="491">
        <f>aarstal+1</f>
        <v>2019</v>
      </c>
      <c r="F2" s="331"/>
      <c r="G2" s="573" t="s">
        <v>465</v>
      </c>
      <c r="H2" s="574"/>
      <c r="I2" s="337" t="s">
        <v>466</v>
      </c>
      <c r="J2" s="338"/>
      <c r="K2" s="331"/>
    </row>
    <row r="3" spans="1:12" x14ac:dyDescent="0.15">
      <c r="A3" s="339" t="s">
        <v>551</v>
      </c>
      <c r="B3" s="340"/>
      <c r="C3" s="341"/>
      <c r="D3" s="342"/>
      <c r="E3" s="343"/>
      <c r="F3" s="331"/>
      <c r="G3" s="575" t="s">
        <v>468</v>
      </c>
      <c r="H3" s="576"/>
      <c r="I3" s="344"/>
      <c r="J3" s="345" t="s">
        <v>469</v>
      </c>
      <c r="K3" s="331"/>
      <c r="L3" s="331"/>
    </row>
    <row r="4" spans="1:12" x14ac:dyDescent="0.15">
      <c r="A4" s="346" t="s">
        <v>552</v>
      </c>
      <c r="B4" s="347"/>
      <c r="C4" s="348"/>
      <c r="D4" s="349"/>
      <c r="E4" s="343"/>
      <c r="F4" s="331"/>
      <c r="G4" s="575" t="s">
        <v>471</v>
      </c>
      <c r="H4" s="576"/>
      <c r="I4" s="344"/>
      <c r="J4" s="350"/>
      <c r="K4" s="331"/>
      <c r="L4" s="331"/>
    </row>
    <row r="5" spans="1:12" x14ac:dyDescent="0.15">
      <c r="A5" s="346" t="s">
        <v>553</v>
      </c>
      <c r="B5" s="347"/>
      <c r="C5" s="348"/>
      <c r="D5" s="351"/>
      <c r="E5" s="343"/>
      <c r="F5" s="331"/>
      <c r="G5" s="575" t="s">
        <v>473</v>
      </c>
      <c r="H5" s="576"/>
      <c r="I5" s="352">
        <f>(D11+D26)*I4</f>
        <v>0</v>
      </c>
      <c r="J5" s="350"/>
      <c r="K5" s="331"/>
      <c r="L5" s="331"/>
    </row>
    <row r="6" spans="1:12" ht="16" x14ac:dyDescent="0.2">
      <c r="A6" s="353"/>
      <c r="B6" s="354" t="s">
        <v>474</v>
      </c>
      <c r="C6" s="355"/>
      <c r="D6" s="356">
        <f>(D3+D4+D5)*D11*5/12</f>
        <v>0</v>
      </c>
      <c r="E6" s="492">
        <f>(E3+E4+E5)*E11</f>
        <v>0</v>
      </c>
      <c r="F6" s="331"/>
      <c r="G6" s="575" t="s">
        <v>475</v>
      </c>
      <c r="H6" s="576"/>
      <c r="I6" s="352">
        <f>I5*I3</f>
        <v>0</v>
      </c>
      <c r="J6" s="357"/>
      <c r="K6" s="331"/>
      <c r="L6" s="331"/>
    </row>
    <row r="7" spans="1:12" ht="14" thickBot="1" x14ac:dyDescent="0.2">
      <c r="A7" s="339" t="s">
        <v>476</v>
      </c>
      <c r="B7" s="358"/>
      <c r="C7" s="359"/>
      <c r="D7" s="360"/>
      <c r="E7" s="361"/>
      <c r="F7" s="331"/>
      <c r="G7" s="571" t="s">
        <v>477</v>
      </c>
      <c r="H7" s="572"/>
      <c r="I7" s="509">
        <f>I6</f>
        <v>0</v>
      </c>
      <c r="J7" s="362">
        <f>D76</f>
        <v>0</v>
      </c>
      <c r="K7" s="331"/>
      <c r="L7" s="331"/>
    </row>
    <row r="8" spans="1:12" x14ac:dyDescent="0.15">
      <c r="A8" s="346" t="s">
        <v>478</v>
      </c>
      <c r="B8" s="347"/>
      <c r="C8" s="363"/>
      <c r="D8" s="364"/>
      <c r="E8" s="365"/>
      <c r="F8" s="331"/>
      <c r="G8" s="366"/>
      <c r="H8" s="366"/>
      <c r="I8" s="366"/>
      <c r="J8" s="366"/>
      <c r="K8" s="331"/>
      <c r="L8" s="331"/>
    </row>
    <row r="9" spans="1:12" x14ac:dyDescent="0.15">
      <c r="A9" s="346" t="s">
        <v>263</v>
      </c>
      <c r="B9" s="347"/>
      <c r="C9" s="367" t="s">
        <v>479</v>
      </c>
      <c r="D9" s="351"/>
      <c r="E9" s="343"/>
      <c r="F9" s="331"/>
      <c r="G9" s="366"/>
      <c r="H9" s="366"/>
      <c r="I9" s="366"/>
      <c r="J9" s="366"/>
      <c r="K9" s="331"/>
      <c r="L9" s="331"/>
    </row>
    <row r="10" spans="1:12" x14ac:dyDescent="0.15">
      <c r="A10" s="368"/>
      <c r="B10" s="354" t="s">
        <v>480</v>
      </c>
      <c r="C10" s="369"/>
      <c r="D10" s="370">
        <f>5/12*D7*D11+D8+D9</f>
        <v>0</v>
      </c>
      <c r="E10" s="493">
        <f>E7*E11+E8+E9</f>
        <v>0</v>
      </c>
      <c r="F10" s="331"/>
      <c r="G10" s="371"/>
      <c r="H10" s="372"/>
      <c r="I10" s="372"/>
      <c r="J10" s="373"/>
      <c r="K10" s="331"/>
      <c r="L10" s="331"/>
    </row>
    <row r="11" spans="1:12" x14ac:dyDescent="0.15">
      <c r="A11" s="368" t="s">
        <v>481</v>
      </c>
      <c r="B11" s="374"/>
      <c r="C11" s="375"/>
      <c r="D11" s="376"/>
      <c r="E11" s="377"/>
      <c r="F11" s="331"/>
      <c r="G11" s="371"/>
      <c r="H11" s="544" t="s">
        <v>558</v>
      </c>
      <c r="I11" s="378"/>
      <c r="J11" s="373"/>
      <c r="K11" s="331"/>
      <c r="L11" s="331"/>
    </row>
    <row r="12" spans="1:12" x14ac:dyDescent="0.15">
      <c r="A12" s="379" t="s">
        <v>482</v>
      </c>
      <c r="B12" s="380"/>
      <c r="C12" s="381"/>
      <c r="D12" s="376"/>
      <c r="E12" s="377"/>
      <c r="F12" s="331"/>
      <c r="G12" s="382"/>
      <c r="H12" s="366"/>
      <c r="I12" s="366"/>
      <c r="J12" s="366"/>
      <c r="K12" s="331"/>
      <c r="L12" s="331"/>
    </row>
    <row r="13" spans="1:12" ht="14" thickBot="1" x14ac:dyDescent="0.2">
      <c r="A13" s="383" t="s">
        <v>483</v>
      </c>
      <c r="B13" s="384"/>
      <c r="C13" s="385"/>
      <c r="D13" s="386">
        <f>IF(D11="",0,D11/D12)</f>
        <v>0</v>
      </c>
      <c r="E13" s="387">
        <f>IF(E11="",0,E11/E12)</f>
        <v>0</v>
      </c>
      <c r="F13" s="331"/>
      <c r="G13" s="371"/>
      <c r="H13" s="331"/>
      <c r="I13" s="331"/>
      <c r="J13" s="331"/>
      <c r="K13" s="331"/>
      <c r="L13" s="331"/>
    </row>
    <row r="14" spans="1:12" ht="14" x14ac:dyDescent="0.15">
      <c r="A14" s="388" t="s">
        <v>484</v>
      </c>
      <c r="B14" s="388"/>
      <c r="C14" s="389"/>
      <c r="D14" s="390">
        <f>+D6+D10</f>
        <v>0</v>
      </c>
      <c r="E14" s="390">
        <f>+E6+E10</f>
        <v>0</v>
      </c>
      <c r="F14" s="331"/>
      <c r="G14" s="371"/>
      <c r="H14" s="331"/>
      <c r="I14" s="331"/>
      <c r="J14" s="331"/>
      <c r="K14" s="331"/>
      <c r="L14" s="331"/>
    </row>
    <row r="15" spans="1:12" x14ac:dyDescent="0.15">
      <c r="A15" s="543" t="s">
        <v>557</v>
      </c>
      <c r="B15" s="391"/>
      <c r="C15" s="392"/>
      <c r="D15" s="392"/>
      <c r="E15" s="392"/>
      <c r="F15" s="331"/>
      <c r="G15" s="371"/>
      <c r="H15" s="331"/>
      <c r="I15" s="331"/>
      <c r="J15" s="331"/>
      <c r="K15" s="331"/>
      <c r="L15" s="331"/>
    </row>
    <row r="16" spans="1:12" ht="19" thickBot="1" x14ac:dyDescent="0.25">
      <c r="A16" s="332" t="s">
        <v>485</v>
      </c>
      <c r="B16" s="331"/>
      <c r="C16" s="331"/>
      <c r="D16" s="508" t="s">
        <v>548</v>
      </c>
      <c r="E16" s="508" t="s">
        <v>549</v>
      </c>
      <c r="F16" s="331"/>
      <c r="G16" s="332" t="str">
        <f>"Heltidsskolefritidsordning budgetopstilling for "&amp;budgetår&amp;":"</f>
        <v>Heltidsskolefritidsordning budgetopstilling for 2017:</v>
      </c>
      <c r="H16" s="331"/>
      <c r="I16" s="331"/>
      <c r="J16" s="331"/>
      <c r="K16" s="331"/>
      <c r="L16" s="331"/>
    </row>
    <row r="17" spans="1:11" x14ac:dyDescent="0.15">
      <c r="A17" s="333" t="s">
        <v>464</v>
      </c>
      <c r="B17" s="334"/>
      <c r="C17" s="335"/>
      <c r="D17" s="336">
        <f>aarstal</f>
        <v>2018</v>
      </c>
      <c r="E17" s="491">
        <f>aarstal+1</f>
        <v>2019</v>
      </c>
      <c r="F17" s="331"/>
      <c r="G17" s="393" t="s">
        <v>487</v>
      </c>
      <c r="H17" s="394"/>
      <c r="I17" s="394"/>
      <c r="J17" s="395"/>
      <c r="K17" s="396"/>
    </row>
    <row r="18" spans="1:11" x14ac:dyDescent="0.15">
      <c r="A18" s="339" t="s">
        <v>467</v>
      </c>
      <c r="B18" s="340"/>
      <c r="C18" s="341"/>
      <c r="D18" s="342"/>
      <c r="E18" s="343"/>
      <c r="F18" s="331"/>
      <c r="G18" s="397"/>
      <c r="H18" s="398" t="s">
        <v>488</v>
      </c>
      <c r="I18" s="398"/>
      <c r="J18" s="399"/>
      <c r="K18" s="401"/>
    </row>
    <row r="19" spans="1:11" x14ac:dyDescent="0.15">
      <c r="A19" s="346" t="s">
        <v>470</v>
      </c>
      <c r="B19" s="347"/>
      <c r="C19" s="348"/>
      <c r="D19" s="349"/>
      <c r="E19" s="343"/>
      <c r="F19" s="331"/>
      <c r="G19" s="404"/>
      <c r="H19" s="398" t="s">
        <v>489</v>
      </c>
      <c r="I19" s="398"/>
      <c r="J19" s="399"/>
      <c r="K19" s="401"/>
    </row>
    <row r="20" spans="1:11" x14ac:dyDescent="0.15">
      <c r="A20" s="346" t="s">
        <v>472</v>
      </c>
      <c r="B20" s="347"/>
      <c r="C20" s="348"/>
      <c r="D20" s="351"/>
      <c r="E20" s="343"/>
      <c r="F20" s="331"/>
      <c r="G20" s="404"/>
      <c r="H20" s="398" t="s">
        <v>491</v>
      </c>
      <c r="I20" s="398"/>
      <c r="J20" s="399"/>
      <c r="K20" s="401"/>
    </row>
    <row r="21" spans="1:11" ht="17" thickBot="1" x14ac:dyDescent="0.25">
      <c r="A21" s="353"/>
      <c r="B21" s="354" t="s">
        <v>474</v>
      </c>
      <c r="C21" s="355"/>
      <c r="D21" s="356">
        <f>(D18+D19+D20)*D26*5/12</f>
        <v>0</v>
      </c>
      <c r="E21" s="492">
        <f>(E18+E19+E20)*E26</f>
        <v>0</v>
      </c>
      <c r="F21" s="331"/>
      <c r="G21" s="404"/>
      <c r="H21" s="398" t="s">
        <v>250</v>
      </c>
      <c r="I21" s="398"/>
      <c r="J21" s="408"/>
      <c r="K21" s="409"/>
    </row>
    <row r="22" spans="1:11" ht="14" thickBot="1" x14ac:dyDescent="0.2">
      <c r="A22" s="339" t="s">
        <v>486</v>
      </c>
      <c r="B22" s="358"/>
      <c r="C22" s="359"/>
      <c r="D22" s="360"/>
      <c r="E22" s="361"/>
      <c r="F22" s="331"/>
      <c r="G22" s="410" t="s">
        <v>494</v>
      </c>
      <c r="H22" s="411"/>
      <c r="I22" s="411"/>
      <c r="J22" s="412"/>
      <c r="K22" s="413">
        <f>SUM(J18:J21)</f>
        <v>0</v>
      </c>
    </row>
    <row r="23" spans="1:11" x14ac:dyDescent="0.15">
      <c r="A23" s="346" t="s">
        <v>478</v>
      </c>
      <c r="B23" s="347"/>
      <c r="C23" s="363"/>
      <c r="D23" s="364"/>
      <c r="E23" s="365"/>
      <c r="F23" s="331"/>
      <c r="G23" s="404"/>
      <c r="H23" s="400"/>
      <c r="I23" s="400"/>
      <c r="J23" s="400"/>
      <c r="K23" s="409"/>
    </row>
    <row r="24" spans="1:11" x14ac:dyDescent="0.15">
      <c r="A24" s="346" t="s">
        <v>263</v>
      </c>
      <c r="B24" s="347"/>
      <c r="C24" s="367" t="s">
        <v>479</v>
      </c>
      <c r="D24" s="351"/>
      <c r="E24" s="343"/>
      <c r="F24" s="331"/>
      <c r="G24" s="418" t="s">
        <v>496</v>
      </c>
      <c r="H24" s="400"/>
      <c r="I24" s="400"/>
      <c r="J24" s="400"/>
      <c r="K24" s="409"/>
    </row>
    <row r="25" spans="1:11" x14ac:dyDescent="0.15">
      <c r="A25" s="368"/>
      <c r="B25" s="354" t="s">
        <v>480</v>
      </c>
      <c r="C25" s="369"/>
      <c r="D25" s="370">
        <f>5/12*D22*D26+D23+D24</f>
        <v>0</v>
      </c>
      <c r="E25" s="494">
        <f>E22*E26+E23+E24</f>
        <v>0</v>
      </c>
      <c r="F25" s="331"/>
      <c r="G25" s="404"/>
      <c r="H25" s="419" t="s">
        <v>498</v>
      </c>
      <c r="I25" s="420"/>
      <c r="J25" s="399"/>
      <c r="K25" s="409"/>
    </row>
    <row r="26" spans="1:11" x14ac:dyDescent="0.15">
      <c r="A26" s="368" t="s">
        <v>481</v>
      </c>
      <c r="B26" s="374"/>
      <c r="C26" s="375"/>
      <c r="D26" s="376"/>
      <c r="E26" s="377"/>
      <c r="F26" s="331"/>
      <c r="G26" s="404"/>
      <c r="H26" s="419" t="s">
        <v>499</v>
      </c>
      <c r="I26" s="420"/>
      <c r="J26" s="399"/>
      <c r="K26" s="409"/>
    </row>
    <row r="27" spans="1:11" x14ac:dyDescent="0.15">
      <c r="A27" s="379" t="s">
        <v>482</v>
      </c>
      <c r="B27" s="380"/>
      <c r="C27" s="381"/>
      <c r="D27" s="376"/>
      <c r="E27" s="377"/>
      <c r="F27" s="331"/>
      <c r="G27" s="404"/>
      <c r="H27" s="419" t="s">
        <v>501</v>
      </c>
      <c r="I27" s="420"/>
      <c r="J27" s="399"/>
      <c r="K27" s="409"/>
    </row>
    <row r="28" spans="1:11" ht="14" thickBot="1" x14ac:dyDescent="0.2">
      <c r="A28" s="383" t="s">
        <v>483</v>
      </c>
      <c r="B28" s="384"/>
      <c r="C28" s="385"/>
      <c r="D28" s="386">
        <f>IF(D26="",0,D26/D27)</f>
        <v>0</v>
      </c>
      <c r="E28" s="387">
        <f>IF(E26="",0,E26/E27)</f>
        <v>0</v>
      </c>
      <c r="F28" s="331"/>
      <c r="G28" s="404"/>
      <c r="H28" s="419" t="s">
        <v>465</v>
      </c>
      <c r="I28" s="420"/>
      <c r="J28" s="399"/>
      <c r="K28" s="409"/>
    </row>
    <row r="29" spans="1:11" ht="14" x14ac:dyDescent="0.15">
      <c r="A29" s="388" t="s">
        <v>484</v>
      </c>
      <c r="B29" s="388"/>
      <c r="C29" s="389"/>
      <c r="D29" s="390">
        <f>+D21+D25</f>
        <v>0</v>
      </c>
      <c r="E29" s="390">
        <f>+E21+E25</f>
        <v>0</v>
      </c>
      <c r="F29" s="331"/>
      <c r="G29" s="404"/>
      <c r="H29" s="419" t="s">
        <v>504</v>
      </c>
      <c r="I29" s="420"/>
      <c r="J29" s="399"/>
      <c r="K29" s="409"/>
    </row>
    <row r="30" spans="1:11" ht="14" thickBot="1" x14ac:dyDescent="0.2">
      <c r="A30" s="391"/>
      <c r="B30" s="391"/>
      <c r="C30" s="392"/>
      <c r="D30" s="508" t="s">
        <v>548</v>
      </c>
      <c r="E30" s="392"/>
      <c r="F30" s="331"/>
      <c r="G30" s="404"/>
      <c r="H30" s="419" t="s">
        <v>408</v>
      </c>
      <c r="I30" s="420"/>
      <c r="J30" s="399"/>
      <c r="K30" s="409"/>
    </row>
    <row r="31" spans="1:11" x14ac:dyDescent="0.15">
      <c r="A31" s="402" t="s">
        <v>554</v>
      </c>
      <c r="B31" s="403"/>
      <c r="C31" s="403"/>
      <c r="D31" s="336">
        <f>aarstal</f>
        <v>2018</v>
      </c>
      <c r="E31" s="538">
        <f>aarstal+1</f>
        <v>2019</v>
      </c>
      <c r="F31" s="331"/>
      <c r="G31" s="404"/>
      <c r="H31" s="419" t="s">
        <v>507</v>
      </c>
      <c r="I31" s="420"/>
      <c r="J31" s="399"/>
      <c r="K31" s="409"/>
    </row>
    <row r="32" spans="1:11" ht="14" thickBot="1" x14ac:dyDescent="0.2">
      <c r="A32" s="405" t="s">
        <v>490</v>
      </c>
      <c r="B32" s="406"/>
      <c r="C32" s="406"/>
      <c r="D32" s="489"/>
      <c r="E32" s="490"/>
      <c r="F32" s="331"/>
      <c r="G32" s="404"/>
      <c r="H32" s="419" t="s">
        <v>508</v>
      </c>
      <c r="I32" s="420"/>
      <c r="J32" s="399"/>
      <c r="K32" s="409"/>
    </row>
    <row r="33" spans="1:12" ht="14" thickBot="1" x14ac:dyDescent="0.2">
      <c r="A33" s="407" t="s">
        <v>492</v>
      </c>
      <c r="B33" s="406"/>
      <c r="C33" s="406"/>
      <c r="D33" s="489"/>
      <c r="E33" s="490"/>
      <c r="F33" s="331"/>
      <c r="G33" s="418" t="s">
        <v>509</v>
      </c>
      <c r="H33" s="436"/>
      <c r="I33" s="436"/>
      <c r="J33" s="436"/>
      <c r="K33" s="413">
        <f>SUM(J25:J32)</f>
        <v>0</v>
      </c>
    </row>
    <row r="34" spans="1:12" ht="14" thickBot="1" x14ac:dyDescent="0.2">
      <c r="A34" s="407" t="s">
        <v>493</v>
      </c>
      <c r="B34" s="406"/>
      <c r="C34" s="406"/>
      <c r="D34" s="489"/>
      <c r="E34" s="490"/>
      <c r="F34" s="331"/>
      <c r="G34" s="404"/>
      <c r="H34" s="400"/>
      <c r="I34" s="400"/>
      <c r="J34" s="400"/>
      <c r="K34" s="409"/>
    </row>
    <row r="35" spans="1:12" ht="14" thickBot="1" x14ac:dyDescent="0.2">
      <c r="A35" s="414" t="s">
        <v>495</v>
      </c>
      <c r="B35" s="415"/>
      <c r="C35" s="415"/>
      <c r="D35" s="416">
        <f>+D32+D34+D33</f>
        <v>0</v>
      </c>
      <c r="E35" s="417">
        <f>+E32+E34+E33</f>
        <v>0</v>
      </c>
      <c r="F35" s="331"/>
      <c r="G35" s="440" t="s">
        <v>511</v>
      </c>
      <c r="H35" s="441"/>
      <c r="I35" s="441"/>
      <c r="J35" s="441"/>
      <c r="K35" s="442">
        <f>K22-K33</f>
        <v>0</v>
      </c>
    </row>
    <row r="36" spans="1:12" ht="14" thickBot="1" x14ac:dyDescent="0.2">
      <c r="A36" s="331"/>
      <c r="B36" s="331"/>
      <c r="C36" s="331"/>
      <c r="D36" s="508" t="s">
        <v>548</v>
      </c>
      <c r="E36" s="508" t="s">
        <v>549</v>
      </c>
      <c r="F36" s="331"/>
      <c r="G36" s="331" t="s">
        <v>547</v>
      </c>
      <c r="H36" s="331"/>
      <c r="I36" s="331"/>
      <c r="J36" s="331"/>
      <c r="L36" s="331"/>
    </row>
    <row r="37" spans="1:12" x14ac:dyDescent="0.15">
      <c r="A37" s="333" t="s">
        <v>497</v>
      </c>
      <c r="B37" s="334"/>
      <c r="C37" s="495"/>
      <c r="D37" s="336">
        <f>aarstal</f>
        <v>2018</v>
      </c>
      <c r="E37" s="538">
        <f>aarstal+1</f>
        <v>2019</v>
      </c>
      <c r="F37" s="366"/>
      <c r="G37" s="331"/>
    </row>
    <row r="38" spans="1:12" x14ac:dyDescent="0.15">
      <c r="A38" s="421"/>
      <c r="B38" s="422"/>
      <c r="C38" s="422"/>
      <c r="D38" s="423"/>
      <c r="E38" s="424"/>
      <c r="F38" s="366"/>
      <c r="G38" s="331" t="s">
        <v>556</v>
      </c>
    </row>
    <row r="39" spans="1:12" x14ac:dyDescent="0.15">
      <c r="A39" s="346" t="s">
        <v>500</v>
      </c>
      <c r="B39" s="347"/>
      <c r="C39" s="470"/>
      <c r="D39" s="355"/>
      <c r="E39" s="425"/>
      <c r="F39" s="366"/>
      <c r="G39" s="331"/>
    </row>
    <row r="40" spans="1:12" x14ac:dyDescent="0.15">
      <c r="A40" s="368" t="s">
        <v>502</v>
      </c>
      <c r="B40" s="374"/>
      <c r="C40" s="505"/>
      <c r="D40" s="426"/>
      <c r="E40" s="510"/>
      <c r="F40" s="366"/>
      <c r="G40" s="331"/>
    </row>
    <row r="41" spans="1:12" x14ac:dyDescent="0.15">
      <c r="A41" s="427" t="s">
        <v>503</v>
      </c>
      <c r="B41" s="428"/>
      <c r="C41" s="428"/>
      <c r="D41" s="426"/>
      <c r="E41" s="510"/>
      <c r="F41" s="366"/>
      <c r="G41" s="331"/>
    </row>
    <row r="42" spans="1:12" x14ac:dyDescent="0.15">
      <c r="A42" s="427" t="s">
        <v>505</v>
      </c>
      <c r="B42" s="428"/>
      <c r="C42" s="428"/>
      <c r="D42" s="426"/>
      <c r="E42" s="510"/>
      <c r="F42" s="366"/>
      <c r="G42" s="331"/>
    </row>
    <row r="43" spans="1:12" x14ac:dyDescent="0.15">
      <c r="A43" s="429" t="s">
        <v>506</v>
      </c>
      <c r="B43" s="430"/>
      <c r="C43" s="430"/>
      <c r="D43" s="431"/>
      <c r="E43" s="511"/>
      <c r="F43" s="366"/>
      <c r="G43" s="331"/>
    </row>
    <row r="44" spans="1:12" x14ac:dyDescent="0.15">
      <c r="A44" s="432"/>
      <c r="B44" s="504"/>
      <c r="C44" s="433"/>
      <c r="D44" s="434"/>
      <c r="E44" s="512"/>
      <c r="F44" s="366"/>
      <c r="G44" s="331"/>
    </row>
    <row r="45" spans="1:12" x14ac:dyDescent="0.15">
      <c r="A45" s="404"/>
      <c r="B45" s="400"/>
      <c r="C45" s="506"/>
      <c r="D45" s="435"/>
      <c r="E45" s="513"/>
      <c r="F45" s="366"/>
      <c r="G45" s="331"/>
    </row>
    <row r="46" spans="1:12" x14ac:dyDescent="0.15">
      <c r="A46" s="432"/>
      <c r="B46" s="504"/>
      <c r="C46" s="422"/>
      <c r="D46" s="507"/>
      <c r="E46" s="514"/>
      <c r="F46" s="366"/>
      <c r="G46" s="331"/>
    </row>
    <row r="47" spans="1:12" x14ac:dyDescent="0.15">
      <c r="A47" s="532" t="s">
        <v>510</v>
      </c>
      <c r="B47" s="533"/>
      <c r="C47" s="496"/>
      <c r="D47" s="534">
        <f>SUM(D40:D46)</f>
        <v>0</v>
      </c>
      <c r="E47" s="534">
        <f>SUM(E40:E46)</f>
        <v>0</v>
      </c>
      <c r="F47" s="366"/>
      <c r="G47" s="331"/>
    </row>
    <row r="48" spans="1:12" ht="14" thickBot="1" x14ac:dyDescent="0.2">
      <c r="A48" s="418"/>
      <c r="B48" s="400"/>
      <c r="C48" s="400"/>
      <c r="D48" s="539" t="s">
        <v>548</v>
      </c>
      <c r="E48" s="540" t="s">
        <v>549</v>
      </c>
      <c r="F48" s="366"/>
      <c r="G48" s="331"/>
    </row>
    <row r="49" spans="1:13" x14ac:dyDescent="0.15">
      <c r="A49" s="443" t="s">
        <v>512</v>
      </c>
      <c r="B49" s="436"/>
      <c r="C49" s="436"/>
      <c r="D49" s="336">
        <f>aarstal</f>
        <v>2018</v>
      </c>
      <c r="E49" s="538">
        <f>aarstal+1</f>
        <v>2019</v>
      </c>
      <c r="F49" s="366"/>
      <c r="G49" s="331"/>
      <c r="H49" s="331"/>
      <c r="I49" s="331"/>
      <c r="J49" s="331"/>
      <c r="K49" s="331"/>
      <c r="L49" s="331"/>
      <c r="M49" s="331"/>
    </row>
    <row r="50" spans="1:13" x14ac:dyDescent="0.15">
      <c r="A50" s="421" t="s">
        <v>513</v>
      </c>
      <c r="B50" s="422"/>
      <c r="C50" s="422"/>
      <c r="D50" s="426"/>
      <c r="E50" s="510"/>
      <c r="F50" s="366"/>
      <c r="G50" s="331"/>
      <c r="H50" s="331"/>
      <c r="I50" s="331"/>
      <c r="J50" s="331"/>
      <c r="K50" s="331"/>
      <c r="L50" s="331"/>
      <c r="M50" s="331"/>
    </row>
    <row r="51" spans="1:13" x14ac:dyDescent="0.15">
      <c r="A51" s="346" t="s">
        <v>514</v>
      </c>
      <c r="B51" s="497"/>
      <c r="C51" s="347"/>
      <c r="D51" s="444"/>
      <c r="E51" s="515"/>
      <c r="F51" s="366"/>
      <c r="G51" s="331"/>
      <c r="H51" s="331"/>
      <c r="I51" s="331"/>
      <c r="J51" s="331"/>
      <c r="K51" s="331"/>
      <c r="L51" s="331"/>
      <c r="M51" s="331"/>
    </row>
    <row r="52" spans="1:13" x14ac:dyDescent="0.15">
      <c r="A52" s="346" t="s">
        <v>515</v>
      </c>
      <c r="B52" s="497"/>
      <c r="C52" s="347"/>
      <c r="D52" s="445"/>
      <c r="E52" s="516"/>
      <c r="F52" s="366"/>
      <c r="G52" s="331"/>
      <c r="H52" s="331"/>
      <c r="I52" s="331"/>
      <c r="J52" s="331"/>
      <c r="K52" s="331"/>
      <c r="L52" s="331"/>
      <c r="M52" s="331"/>
    </row>
    <row r="53" spans="1:13" x14ac:dyDescent="0.15">
      <c r="A53" s="446" t="s">
        <v>33</v>
      </c>
      <c r="B53" s="462"/>
      <c r="C53" s="462"/>
      <c r="D53" s="360"/>
      <c r="E53" s="517"/>
      <c r="F53" s="366"/>
      <c r="G53" s="331"/>
      <c r="H53" s="331"/>
      <c r="I53" s="331"/>
      <c r="J53" s="331"/>
      <c r="K53" s="331"/>
      <c r="L53" s="331"/>
      <c r="M53" s="331"/>
    </row>
    <row r="54" spans="1:13" x14ac:dyDescent="0.15">
      <c r="A54" s="446" t="s">
        <v>516</v>
      </c>
      <c r="B54" s="503"/>
      <c r="C54" s="447"/>
      <c r="D54" s="448"/>
      <c r="E54" s="518"/>
      <c r="F54" s="366"/>
      <c r="G54" s="331"/>
      <c r="H54" s="331"/>
      <c r="I54" s="331"/>
      <c r="J54" s="331"/>
      <c r="K54" s="331"/>
      <c r="L54" s="331"/>
      <c r="M54" s="331"/>
    </row>
    <row r="55" spans="1:13" x14ac:dyDescent="0.15">
      <c r="A55" s="346" t="s">
        <v>517</v>
      </c>
      <c r="B55" s="497"/>
      <c r="C55" s="497"/>
      <c r="D55" s="360"/>
      <c r="E55" s="517"/>
      <c r="F55" s="366"/>
      <c r="G55" s="331"/>
      <c r="H55" s="331"/>
      <c r="I55" s="331"/>
      <c r="J55" s="331"/>
      <c r="K55" s="331"/>
      <c r="L55" s="331"/>
      <c r="M55" s="331"/>
    </row>
    <row r="56" spans="1:13" x14ac:dyDescent="0.15">
      <c r="A56" s="449" t="s">
        <v>518</v>
      </c>
      <c r="B56" s="450"/>
      <c r="C56" s="450"/>
      <c r="D56" s="451"/>
      <c r="E56" s="519"/>
      <c r="F56" s="366"/>
      <c r="G56" s="331"/>
      <c r="H56" s="331"/>
      <c r="I56" s="331"/>
      <c r="J56" s="331"/>
      <c r="K56" s="331"/>
      <c r="L56" s="331"/>
      <c r="M56" s="331"/>
    </row>
    <row r="57" spans="1:13" x14ac:dyDescent="0.15">
      <c r="A57" s="368" t="s">
        <v>519</v>
      </c>
      <c r="B57" s="422"/>
      <c r="C57" s="422"/>
      <c r="D57" s="452"/>
      <c r="E57" s="520"/>
      <c r="F57" s="366"/>
      <c r="G57" s="331"/>
      <c r="H57" s="331"/>
      <c r="I57" s="331"/>
      <c r="J57" s="331"/>
      <c r="K57" s="331"/>
      <c r="L57" s="331"/>
      <c r="M57" s="331"/>
    </row>
    <row r="58" spans="1:13" x14ac:dyDescent="0.15">
      <c r="A58" s="429" t="s">
        <v>520</v>
      </c>
      <c r="B58" s="430"/>
      <c r="C58" s="430"/>
      <c r="D58" s="431"/>
      <c r="E58" s="511"/>
      <c r="F58" s="366"/>
      <c r="G58" s="331"/>
      <c r="H58" s="331"/>
      <c r="I58" s="331"/>
      <c r="J58" s="331"/>
      <c r="K58" s="331"/>
      <c r="L58" s="331"/>
      <c r="M58" s="331"/>
    </row>
    <row r="59" spans="1:13" x14ac:dyDescent="0.15">
      <c r="A59" s="453" t="s">
        <v>521</v>
      </c>
      <c r="B59" s="454"/>
      <c r="C59" s="454"/>
      <c r="D59" s="456">
        <f>SUM(D50:D58)</f>
        <v>0</v>
      </c>
      <c r="E59" s="456">
        <f>SUM(E50:E58)</f>
        <v>0</v>
      </c>
      <c r="F59" s="366"/>
      <c r="G59" s="331"/>
      <c r="H59" s="331"/>
      <c r="I59" s="331"/>
      <c r="J59" s="331"/>
      <c r="K59" s="331"/>
      <c r="L59" s="331"/>
      <c r="M59" s="331"/>
    </row>
    <row r="60" spans="1:13" ht="14" thickBot="1" x14ac:dyDescent="0.2">
      <c r="A60" s="404"/>
      <c r="B60" s="400"/>
      <c r="C60" s="400"/>
      <c r="D60" s="539" t="s">
        <v>548</v>
      </c>
      <c r="E60" s="540" t="s">
        <v>549</v>
      </c>
      <c r="F60" s="366"/>
      <c r="G60" s="331"/>
      <c r="H60" s="331"/>
      <c r="I60" s="331"/>
      <c r="J60" s="331"/>
      <c r="K60" s="331"/>
      <c r="L60" s="331"/>
      <c r="M60" s="331"/>
    </row>
    <row r="61" spans="1:13" x14ac:dyDescent="0.15">
      <c r="A61" s="478" t="s">
        <v>522</v>
      </c>
      <c r="B61" s="498"/>
      <c r="C61" s="479"/>
      <c r="D61" s="336">
        <f>aarstal</f>
        <v>2018</v>
      </c>
      <c r="E61" s="538">
        <f>aarstal+1</f>
        <v>2019</v>
      </c>
      <c r="F61" s="366"/>
      <c r="G61" s="331"/>
      <c r="H61" s="331"/>
      <c r="I61" s="331"/>
      <c r="J61" s="331"/>
      <c r="K61" s="331"/>
      <c r="L61" s="331"/>
      <c r="M61" s="331"/>
    </row>
    <row r="62" spans="1:13" x14ac:dyDescent="0.15">
      <c r="A62" s="346" t="s">
        <v>29</v>
      </c>
      <c r="B62" s="497"/>
      <c r="C62" s="347"/>
      <c r="D62" s="457"/>
      <c r="E62" s="521"/>
      <c r="F62" s="366"/>
      <c r="G62" s="331"/>
      <c r="H62" s="331"/>
      <c r="I62" s="331"/>
      <c r="J62" s="331"/>
      <c r="K62" s="331"/>
      <c r="L62" s="331"/>
      <c r="M62" s="331"/>
    </row>
    <row r="63" spans="1:13" x14ac:dyDescent="0.15">
      <c r="A63" s="499" t="s">
        <v>523</v>
      </c>
      <c r="B63" s="501"/>
      <c r="C63" s="500"/>
      <c r="D63" s="457"/>
      <c r="E63" s="521"/>
      <c r="F63" s="366"/>
      <c r="G63" s="331"/>
      <c r="H63" s="331"/>
      <c r="I63" s="331"/>
      <c r="J63" s="331"/>
      <c r="K63" s="331"/>
      <c r="L63" s="331"/>
      <c r="M63" s="331"/>
    </row>
    <row r="64" spans="1:13" x14ac:dyDescent="0.15">
      <c r="A64" s="446"/>
      <c r="B64" s="462"/>
      <c r="C64" s="502"/>
      <c r="D64" s="458"/>
      <c r="E64" s="522"/>
      <c r="F64" s="366"/>
      <c r="G64" s="331"/>
      <c r="H64" s="331"/>
      <c r="I64" s="331"/>
      <c r="J64" s="331"/>
      <c r="K64" s="331"/>
      <c r="L64" s="331"/>
      <c r="M64" s="331"/>
    </row>
    <row r="65" spans="1:13" x14ac:dyDescent="0.15">
      <c r="A65" s="453" t="s">
        <v>550</v>
      </c>
      <c r="B65" s="454"/>
      <c r="C65" s="454"/>
      <c r="D65" s="456">
        <f>SUM(D62:D64)</f>
        <v>0</v>
      </c>
      <c r="E65" s="456">
        <f>SUM(E62:E64)</f>
        <v>0</v>
      </c>
      <c r="F65" s="366"/>
      <c r="G65" s="331"/>
      <c r="H65" s="331"/>
      <c r="I65" s="331"/>
      <c r="J65" s="331"/>
      <c r="K65" s="331"/>
      <c r="L65" s="331"/>
      <c r="M65" s="331"/>
    </row>
    <row r="66" spans="1:13" ht="14" thickBot="1" x14ac:dyDescent="0.2">
      <c r="A66" s="404"/>
      <c r="B66" s="400"/>
      <c r="C66" s="400"/>
      <c r="D66" s="539" t="s">
        <v>548</v>
      </c>
      <c r="E66" s="540" t="s">
        <v>549</v>
      </c>
      <c r="F66" s="459"/>
      <c r="G66" s="331"/>
      <c r="H66" s="331"/>
      <c r="I66" s="331"/>
      <c r="J66" s="331"/>
      <c r="K66" s="331"/>
      <c r="L66" s="331"/>
      <c r="M66" s="331"/>
    </row>
    <row r="67" spans="1:13" x14ac:dyDescent="0.15">
      <c r="A67" s="460" t="s">
        <v>524</v>
      </c>
      <c r="B67" s="461"/>
      <c r="C67" s="461"/>
      <c r="D67" s="336">
        <f>aarstal</f>
        <v>2018</v>
      </c>
      <c r="E67" s="538">
        <f>aarstal+1</f>
        <v>2019</v>
      </c>
      <c r="F67" s="459"/>
      <c r="G67" s="331"/>
      <c r="H67" s="331"/>
      <c r="I67" s="331"/>
      <c r="J67" s="331"/>
      <c r="K67" s="331"/>
      <c r="L67" s="331"/>
      <c r="M67" s="331"/>
    </row>
    <row r="68" spans="1:13" x14ac:dyDescent="0.15">
      <c r="A68" s="463" t="s">
        <v>525</v>
      </c>
      <c r="B68" s="359"/>
      <c r="C68" s="359"/>
      <c r="D68" s="464"/>
      <c r="E68" s="523"/>
      <c r="F68" s="459"/>
      <c r="G68" s="331"/>
      <c r="H68" s="331"/>
      <c r="I68" s="331"/>
      <c r="J68" s="331"/>
      <c r="K68" s="331"/>
      <c r="L68" s="331"/>
      <c r="M68" s="331"/>
    </row>
    <row r="69" spans="1:13" x14ac:dyDescent="0.15">
      <c r="A69" s="463" t="s">
        <v>526</v>
      </c>
      <c r="B69" s="359"/>
      <c r="C69" s="359"/>
      <c r="D69" s="464"/>
      <c r="E69" s="523"/>
      <c r="F69" s="459"/>
      <c r="G69" s="331"/>
      <c r="H69" s="331"/>
      <c r="I69" s="331"/>
      <c r="J69" s="331"/>
      <c r="K69" s="331"/>
      <c r="L69" s="331"/>
      <c r="M69" s="331"/>
    </row>
    <row r="70" spans="1:13" x14ac:dyDescent="0.15">
      <c r="A70" s="465" t="s">
        <v>479</v>
      </c>
      <c r="B70" s="359"/>
      <c r="C70" s="359"/>
      <c r="D70" s="464"/>
      <c r="E70" s="523"/>
      <c r="F70" s="331"/>
      <c r="G70" s="331"/>
      <c r="H70" s="331"/>
      <c r="I70" s="331"/>
      <c r="J70" s="331"/>
      <c r="K70" s="331"/>
      <c r="L70" s="331"/>
      <c r="M70" s="331"/>
    </row>
    <row r="71" spans="1:13" x14ac:dyDescent="0.15">
      <c r="A71" s="463"/>
      <c r="B71" s="359"/>
      <c r="C71" s="359"/>
      <c r="D71" s="464"/>
      <c r="E71" s="523"/>
      <c r="F71" s="331"/>
      <c r="G71" s="331"/>
      <c r="H71" s="331"/>
      <c r="I71" s="331"/>
      <c r="J71" s="331"/>
      <c r="K71" s="331"/>
      <c r="L71" s="331"/>
      <c r="M71" s="331"/>
    </row>
    <row r="72" spans="1:13" x14ac:dyDescent="0.15">
      <c r="A72" s="463"/>
      <c r="B72" s="359"/>
      <c r="C72" s="359"/>
      <c r="D72" s="464"/>
      <c r="E72" s="523"/>
      <c r="F72" s="331"/>
      <c r="G72" s="331"/>
      <c r="H72" s="331"/>
      <c r="I72" s="331"/>
      <c r="J72" s="331"/>
      <c r="K72" s="331"/>
      <c r="L72" s="331"/>
      <c r="M72" s="331"/>
    </row>
    <row r="73" spans="1:13" x14ac:dyDescent="0.15">
      <c r="A73" s="463"/>
      <c r="B73" s="359"/>
      <c r="C73" s="359"/>
      <c r="D73" s="464"/>
      <c r="E73" s="523"/>
      <c r="F73" s="331"/>
      <c r="G73" s="331"/>
      <c r="H73" s="331"/>
      <c r="I73" s="331"/>
      <c r="J73" s="331"/>
      <c r="K73" s="331"/>
      <c r="L73" s="331"/>
      <c r="M73" s="331"/>
    </row>
    <row r="74" spans="1:13" x14ac:dyDescent="0.15">
      <c r="A74" s="463"/>
      <c r="B74" s="359"/>
      <c r="C74" s="359"/>
      <c r="D74" s="464"/>
      <c r="E74" s="523"/>
      <c r="F74" s="331"/>
      <c r="G74" s="331"/>
      <c r="H74" s="331"/>
      <c r="I74" s="331"/>
      <c r="J74" s="331"/>
      <c r="K74" s="331"/>
      <c r="L74" s="331"/>
      <c r="M74" s="331"/>
    </row>
    <row r="75" spans="1:13" x14ac:dyDescent="0.15">
      <c r="A75" s="466"/>
      <c r="B75" s="423"/>
      <c r="C75" s="355"/>
      <c r="D75" s="464"/>
      <c r="E75" s="523"/>
      <c r="F75" s="331"/>
      <c r="G75" s="331"/>
      <c r="H75" s="331"/>
      <c r="I75" s="331"/>
      <c r="J75" s="331"/>
      <c r="K75" s="331"/>
      <c r="L75" s="331"/>
      <c r="M75" s="331"/>
    </row>
    <row r="76" spans="1:13" x14ac:dyDescent="0.15">
      <c r="A76" s="438" t="s">
        <v>527</v>
      </c>
      <c r="B76" s="467"/>
      <c r="C76" s="467"/>
      <c r="D76" s="468">
        <f>SUM(D68:D75)</f>
        <v>0</v>
      </c>
      <c r="E76" s="468">
        <f>SUM(E68:E75)</f>
        <v>0</v>
      </c>
      <c r="F76" s="331"/>
      <c r="G76" s="331"/>
      <c r="H76" s="331"/>
      <c r="I76" s="331"/>
      <c r="J76" s="331"/>
      <c r="K76" s="331"/>
      <c r="L76" s="331"/>
      <c r="M76" s="331"/>
    </row>
    <row r="77" spans="1:13" ht="14" thickBot="1" x14ac:dyDescent="0.2">
      <c r="A77" s="535"/>
      <c r="B77" s="536"/>
      <c r="C77" s="536"/>
      <c r="D77" s="539" t="s">
        <v>548</v>
      </c>
      <c r="E77" s="540" t="s">
        <v>549</v>
      </c>
      <c r="F77" s="331"/>
      <c r="G77" s="331"/>
      <c r="H77" s="331"/>
      <c r="I77" s="331"/>
      <c r="J77" s="331"/>
      <c r="K77" s="331"/>
      <c r="L77" s="331"/>
    </row>
    <row r="78" spans="1:13" x14ac:dyDescent="0.15">
      <c r="A78" s="460" t="s">
        <v>528</v>
      </c>
      <c r="B78" s="461"/>
      <c r="C78" s="461"/>
      <c r="D78" s="336">
        <f>aarstal</f>
        <v>2018</v>
      </c>
      <c r="E78" s="538">
        <f>aarstal+1</f>
        <v>2019</v>
      </c>
      <c r="F78" s="331"/>
      <c r="G78" s="331"/>
      <c r="H78" s="331"/>
      <c r="I78" s="331"/>
      <c r="J78" s="331"/>
      <c r="K78" s="331"/>
      <c r="L78" s="331"/>
      <c r="M78" s="331"/>
    </row>
    <row r="79" spans="1:13" x14ac:dyDescent="0.15">
      <c r="A79" s="469" t="s">
        <v>529</v>
      </c>
      <c r="B79" s="470"/>
      <c r="C79" s="470"/>
      <c r="D79" s="471"/>
      <c r="E79" s="537"/>
      <c r="F79" s="331"/>
      <c r="G79" s="331"/>
      <c r="H79" s="331"/>
      <c r="I79" s="331"/>
      <c r="J79" s="331"/>
      <c r="K79" s="331"/>
      <c r="L79" s="331"/>
      <c r="M79" s="331"/>
    </row>
    <row r="80" spans="1:13" x14ac:dyDescent="0.15">
      <c r="A80" s="427" t="s">
        <v>530</v>
      </c>
      <c r="B80" s="428"/>
      <c r="C80" s="428"/>
      <c r="D80" s="426"/>
      <c r="E80" s="510"/>
      <c r="F80" s="331"/>
      <c r="G80" s="331"/>
      <c r="H80" s="331"/>
      <c r="I80" s="331"/>
      <c r="J80" s="331"/>
      <c r="K80" s="331"/>
      <c r="L80" s="331"/>
      <c r="M80" s="331"/>
    </row>
    <row r="81" spans="1:13" x14ac:dyDescent="0.15">
      <c r="A81" s="469" t="s">
        <v>531</v>
      </c>
      <c r="B81" s="470"/>
      <c r="C81" s="470"/>
      <c r="D81" s="426"/>
      <c r="E81" s="510"/>
      <c r="F81" s="331"/>
      <c r="G81" s="331"/>
      <c r="H81" s="331"/>
      <c r="I81" s="331"/>
      <c r="J81" s="331"/>
      <c r="K81" s="331"/>
      <c r="L81" s="331"/>
      <c r="M81" s="331"/>
    </row>
    <row r="82" spans="1:13" x14ac:dyDescent="0.15">
      <c r="A82" s="463" t="s">
        <v>532</v>
      </c>
      <c r="B82" s="359"/>
      <c r="C82" s="359"/>
      <c r="D82" s="426"/>
      <c r="E82" s="510"/>
      <c r="F82" s="331"/>
      <c r="G82" s="331"/>
      <c r="H82" s="331"/>
      <c r="I82" s="331"/>
      <c r="J82" s="331"/>
      <c r="K82" s="331"/>
      <c r="L82" s="331"/>
      <c r="M82" s="331"/>
    </row>
    <row r="83" spans="1:13" x14ac:dyDescent="0.15">
      <c r="A83" s="463"/>
      <c r="B83" s="359"/>
      <c r="C83" s="359"/>
      <c r="D83" s="426"/>
      <c r="E83" s="510"/>
      <c r="F83" s="331"/>
      <c r="G83" s="331"/>
      <c r="H83" s="331"/>
      <c r="I83" s="331"/>
      <c r="J83" s="331"/>
      <c r="K83" s="331"/>
      <c r="L83" s="331"/>
      <c r="M83" s="331"/>
    </row>
    <row r="84" spans="1:13" x14ac:dyDescent="0.15">
      <c r="A84" s="463"/>
      <c r="B84" s="359"/>
      <c r="C84" s="359"/>
      <c r="D84" s="426"/>
      <c r="E84" s="510"/>
      <c r="F84" s="331"/>
      <c r="G84" s="331"/>
      <c r="H84" s="331"/>
      <c r="I84" s="331"/>
      <c r="J84" s="331"/>
      <c r="K84" s="331"/>
      <c r="L84" s="331"/>
      <c r="M84" s="331"/>
    </row>
    <row r="85" spans="1:13" x14ac:dyDescent="0.15">
      <c r="A85" s="472"/>
      <c r="B85" s="473"/>
      <c r="C85" s="473"/>
      <c r="D85" s="474"/>
      <c r="E85" s="524"/>
      <c r="F85" s="331"/>
      <c r="G85" s="331"/>
      <c r="H85" s="331"/>
      <c r="I85" s="331"/>
      <c r="J85" s="331"/>
      <c r="K85" s="331"/>
      <c r="L85" s="331"/>
      <c r="M85" s="331"/>
    </row>
    <row r="86" spans="1:13" x14ac:dyDescent="0.15">
      <c r="A86" s="453" t="s">
        <v>533</v>
      </c>
      <c r="B86" s="455"/>
      <c r="C86" s="496"/>
      <c r="D86" s="475">
        <f>SUM(D79:D85)</f>
        <v>0</v>
      </c>
      <c r="E86" s="475">
        <f>SUM(E79:E85)</f>
        <v>0</v>
      </c>
      <c r="F86" s="331"/>
      <c r="G86" s="331"/>
      <c r="H86" s="331"/>
      <c r="I86" s="331"/>
      <c r="J86" s="331"/>
      <c r="K86" s="331"/>
      <c r="L86" s="331"/>
      <c r="M86" s="331"/>
    </row>
    <row r="87" spans="1:13" ht="14" thickBot="1" x14ac:dyDescent="0.2">
      <c r="A87" s="476"/>
      <c r="B87" s="477"/>
      <c r="C87" s="477"/>
      <c r="D87" s="539" t="s">
        <v>548</v>
      </c>
      <c r="E87" s="540" t="s">
        <v>549</v>
      </c>
      <c r="F87" s="331"/>
      <c r="G87" s="331"/>
      <c r="H87" s="331"/>
      <c r="I87" s="331"/>
      <c r="J87" s="331"/>
      <c r="K87" s="331"/>
      <c r="L87" s="331"/>
      <c r="M87" s="331"/>
    </row>
    <row r="88" spans="1:13" x14ac:dyDescent="0.15">
      <c r="A88" s="478" t="s">
        <v>534</v>
      </c>
      <c r="B88" s="498"/>
      <c r="C88" s="479"/>
      <c r="D88" s="336">
        <f>aarstal</f>
        <v>2018</v>
      </c>
      <c r="E88" s="538">
        <f>aarstal+1</f>
        <v>2019</v>
      </c>
      <c r="F88" s="331"/>
      <c r="G88" s="331"/>
      <c r="H88" s="331"/>
      <c r="I88" s="331"/>
      <c r="J88" s="331"/>
      <c r="K88" s="331"/>
      <c r="L88" s="331"/>
      <c r="M88" s="331"/>
    </row>
    <row r="89" spans="1:13" x14ac:dyDescent="0.15">
      <c r="A89" s="346" t="s">
        <v>535</v>
      </c>
      <c r="B89" s="497"/>
      <c r="C89" s="347"/>
      <c r="D89" s="480"/>
      <c r="E89" s="525"/>
      <c r="F89" s="331"/>
      <c r="G89" s="331"/>
      <c r="H89" s="331"/>
      <c r="I89" s="331"/>
      <c r="J89" s="331"/>
      <c r="K89" s="331"/>
      <c r="L89" s="331"/>
      <c r="M89" s="331"/>
    </row>
    <row r="90" spans="1:13" x14ac:dyDescent="0.15">
      <c r="A90" s="346" t="s">
        <v>536</v>
      </c>
      <c r="B90" s="497"/>
      <c r="C90" s="347"/>
      <c r="D90" s="437"/>
      <c r="E90" s="526"/>
      <c r="F90" s="331"/>
      <c r="G90" s="331"/>
      <c r="H90" s="331"/>
      <c r="I90" s="331"/>
      <c r="J90" s="331"/>
      <c r="K90" s="331"/>
      <c r="L90" s="331"/>
      <c r="M90" s="331"/>
    </row>
    <row r="91" spans="1:13" x14ac:dyDescent="0.15">
      <c r="A91" s="481" t="s">
        <v>537</v>
      </c>
      <c r="B91" s="482"/>
      <c r="C91" s="482"/>
      <c r="D91" s="426"/>
      <c r="E91" s="510"/>
      <c r="F91" s="331"/>
      <c r="G91" s="331"/>
      <c r="H91" s="331"/>
      <c r="I91" s="331"/>
      <c r="J91" s="331"/>
      <c r="K91" s="331"/>
      <c r="L91" s="331"/>
      <c r="M91" s="331"/>
    </row>
    <row r="92" spans="1:13" x14ac:dyDescent="0.15">
      <c r="A92" s="463" t="s">
        <v>538</v>
      </c>
      <c r="B92" s="359"/>
      <c r="C92" s="359"/>
      <c r="D92" s="426"/>
      <c r="E92" s="510"/>
      <c r="F92" s="331"/>
      <c r="G92" s="331"/>
      <c r="H92" s="331"/>
      <c r="I92" s="331"/>
      <c r="J92" s="331"/>
      <c r="K92" s="331"/>
      <c r="L92" s="331"/>
      <c r="M92" s="331"/>
    </row>
    <row r="93" spans="1:13" x14ac:dyDescent="0.15">
      <c r="A93" s="466" t="s">
        <v>539</v>
      </c>
      <c r="B93" s="423"/>
      <c r="C93" s="423"/>
      <c r="D93" s="426"/>
      <c r="E93" s="510"/>
      <c r="F93" s="331"/>
      <c r="G93" s="331"/>
      <c r="H93" s="331"/>
      <c r="I93" s="331"/>
      <c r="J93" s="331"/>
      <c r="K93" s="331"/>
      <c r="L93" s="331"/>
      <c r="M93" s="331"/>
    </row>
    <row r="94" spans="1:13" x14ac:dyDescent="0.15">
      <c r="A94" s="346" t="s">
        <v>540</v>
      </c>
      <c r="B94" s="497"/>
      <c r="C94" s="347"/>
      <c r="D94" s="444"/>
      <c r="E94" s="515"/>
      <c r="F94" s="331"/>
      <c r="G94" s="331"/>
      <c r="H94" s="331"/>
      <c r="I94" s="331"/>
      <c r="J94" s="331"/>
      <c r="K94" s="331"/>
      <c r="L94" s="331"/>
      <c r="M94" s="331"/>
    </row>
    <row r="95" spans="1:13" x14ac:dyDescent="0.15">
      <c r="A95" s="346" t="s">
        <v>541</v>
      </c>
      <c r="B95" s="497"/>
      <c r="C95" s="347"/>
      <c r="D95" s="444"/>
      <c r="E95" s="515"/>
      <c r="F95" s="331"/>
      <c r="G95" s="331"/>
      <c r="H95" s="331"/>
      <c r="I95" s="331"/>
      <c r="J95" s="331"/>
      <c r="K95" s="331"/>
      <c r="L95" s="331"/>
      <c r="M95" s="331"/>
    </row>
    <row r="96" spans="1:13" x14ac:dyDescent="0.15">
      <c r="A96" s="346" t="s">
        <v>542</v>
      </c>
      <c r="B96" s="497"/>
      <c r="C96" s="347"/>
      <c r="D96" s="444"/>
      <c r="E96" s="515"/>
      <c r="F96" s="331"/>
      <c r="G96" s="331"/>
      <c r="H96" s="331"/>
      <c r="I96" s="331"/>
      <c r="J96" s="331"/>
      <c r="K96" s="331"/>
      <c r="L96" s="331"/>
      <c r="M96" s="331"/>
    </row>
    <row r="97" spans="1:13" x14ac:dyDescent="0.15">
      <c r="A97" s="346" t="s">
        <v>543</v>
      </c>
      <c r="B97" s="497"/>
      <c r="C97" s="347"/>
      <c r="D97" s="483">
        <v>0</v>
      </c>
      <c r="E97" s="527">
        <f>E26*30</f>
        <v>0</v>
      </c>
      <c r="F97" s="331"/>
      <c r="G97" s="331"/>
      <c r="H97" s="331"/>
      <c r="I97" s="331"/>
      <c r="J97" s="331"/>
      <c r="K97" s="331"/>
      <c r="L97" s="331"/>
      <c r="M97" s="331"/>
    </row>
    <row r="98" spans="1:13" x14ac:dyDescent="0.15">
      <c r="A98" s="346" t="s">
        <v>508</v>
      </c>
      <c r="B98" s="497"/>
      <c r="C98" s="347"/>
      <c r="D98" s="444"/>
      <c r="E98" s="515"/>
      <c r="F98" s="331" t="s">
        <v>560</v>
      </c>
      <c r="G98" s="331"/>
      <c r="H98" s="331"/>
      <c r="I98" s="331"/>
      <c r="J98" s="331"/>
      <c r="K98" s="331"/>
      <c r="L98" s="331"/>
      <c r="M98" s="331"/>
    </row>
    <row r="99" spans="1:13" x14ac:dyDescent="0.15">
      <c r="A99" s="453" t="s">
        <v>544</v>
      </c>
      <c r="B99" s="455"/>
      <c r="C99" s="496"/>
      <c r="D99" s="439">
        <f>SUM(D89:D98)</f>
        <v>0</v>
      </c>
      <c r="E99" s="439">
        <f>SUM(E89:E98)</f>
        <v>0</v>
      </c>
      <c r="F99" s="331"/>
      <c r="G99" s="331"/>
      <c r="H99" s="331"/>
      <c r="I99" s="331"/>
      <c r="J99" s="331"/>
      <c r="K99" s="331"/>
      <c r="L99" s="331"/>
      <c r="M99" s="331"/>
    </row>
    <row r="100" spans="1:13" ht="14" thickBot="1" x14ac:dyDescent="0.2">
      <c r="A100" s="484"/>
      <c r="B100" s="371"/>
      <c r="C100" s="371"/>
      <c r="D100" s="371"/>
      <c r="E100" s="371"/>
      <c r="F100" s="331"/>
      <c r="G100" s="331"/>
      <c r="H100" s="331"/>
      <c r="I100" s="331"/>
      <c r="J100" s="331"/>
      <c r="K100" s="331"/>
      <c r="L100" s="331"/>
      <c r="M100" s="331"/>
    </row>
    <row r="101" spans="1:13" ht="16" x14ac:dyDescent="0.2">
      <c r="A101" s="485" t="s">
        <v>545</v>
      </c>
      <c r="B101" s="486"/>
      <c r="C101" s="486"/>
      <c r="D101" s="530">
        <f>D35+D47+D59+D65+D76+D86+D99</f>
        <v>0</v>
      </c>
      <c r="E101" s="528">
        <f>E35+E47+E59+E65+E76+E86+E99</f>
        <v>0</v>
      </c>
      <c r="F101" s="331"/>
      <c r="G101" s="331"/>
      <c r="H101" s="331"/>
      <c r="I101" s="331"/>
      <c r="J101" s="331"/>
      <c r="K101" s="331"/>
      <c r="L101" s="331"/>
      <c r="M101" s="331"/>
    </row>
    <row r="102" spans="1:13" ht="17" thickBot="1" x14ac:dyDescent="0.25">
      <c r="A102" s="487" t="s">
        <v>546</v>
      </c>
      <c r="B102" s="488"/>
      <c r="C102" s="488"/>
      <c r="D102" s="531">
        <f>D14+D29-D101</f>
        <v>0</v>
      </c>
      <c r="E102" s="529">
        <f>E14+E29-E101</f>
        <v>0</v>
      </c>
      <c r="F102" s="331"/>
      <c r="G102" s="331"/>
      <c r="H102" s="331"/>
      <c r="I102" s="331"/>
      <c r="J102" s="331"/>
      <c r="K102" s="331"/>
      <c r="L102" s="331"/>
      <c r="M102" s="331"/>
    </row>
  </sheetData>
  <sheetProtection sheet="1" objects="1" scenarios="1" formatCells="0" formatColumns="0" formatRows="0"/>
  <mergeCells count="6">
    <mergeCell ref="G7:H7"/>
    <mergeCell ref="G2:H2"/>
    <mergeCell ref="G3:H3"/>
    <mergeCell ref="G4:H4"/>
    <mergeCell ref="G5:H5"/>
    <mergeCell ref="G6:H6"/>
  </mergeCells>
  <hyperlinks>
    <hyperlink ref="H11" location="'22.Dagtilbud'!A1" display="til 'Budget'"/>
  </hyperlinks>
  <pageMargins left="0.75" right="0.75" top="1" bottom="1" header="0.5" footer="0.5"/>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33"/>
  <sheetViews>
    <sheetView zoomScale="150" zoomScaleNormal="150" zoomScalePageLayoutView="150" workbookViewId="0">
      <selection activeCell="A16" sqref="A16"/>
    </sheetView>
  </sheetViews>
  <sheetFormatPr baseColWidth="10" defaultColWidth="10.83203125" defaultRowHeight="13" x14ac:dyDescent="0.15"/>
  <cols>
    <col min="1" max="1" width="10.83203125" style="1"/>
    <col min="2" max="2" width="63.1640625" style="1" customWidth="1"/>
    <col min="3" max="16384" width="10.83203125" style="1"/>
  </cols>
  <sheetData>
    <row r="1" spans="1:2" x14ac:dyDescent="0.15">
      <c r="A1" s="3">
        <v>2018</v>
      </c>
      <c r="B1" s="37" t="s">
        <v>73</v>
      </c>
    </row>
    <row r="2" spans="1:2" ht="43" customHeight="1" x14ac:dyDescent="0.15">
      <c r="B2" s="38" t="s">
        <v>72</v>
      </c>
    </row>
    <row r="3" spans="1:2" ht="62.5" customHeight="1" x14ac:dyDescent="0.15">
      <c r="B3" s="38" t="s">
        <v>71</v>
      </c>
    </row>
    <row r="4" spans="1:2" x14ac:dyDescent="0.15">
      <c r="B4" s="38"/>
    </row>
    <row r="5" spans="1:2" x14ac:dyDescent="0.15">
      <c r="A5" s="39"/>
      <c r="B5" s="38" t="s">
        <v>70</v>
      </c>
    </row>
    <row r="6" spans="1:2" ht="51" customHeight="1" x14ac:dyDescent="0.15">
      <c r="B6" s="38" t="s">
        <v>571</v>
      </c>
    </row>
    <row r="7" spans="1:2" ht="51" customHeight="1" x14ac:dyDescent="0.15">
      <c r="B7" s="38" t="s">
        <v>445</v>
      </c>
    </row>
    <row r="8" spans="1:2" ht="4" customHeight="1" x14ac:dyDescent="0.15">
      <c r="B8" s="38"/>
    </row>
    <row r="9" spans="1:2" x14ac:dyDescent="0.15">
      <c r="A9" s="1">
        <v>1</v>
      </c>
      <c r="B9" s="38" t="s">
        <v>69</v>
      </c>
    </row>
    <row r="10" spans="1:2" x14ac:dyDescent="0.15">
      <c r="A10" s="1">
        <v>2</v>
      </c>
      <c r="B10" s="38" t="s">
        <v>68</v>
      </c>
    </row>
    <row r="11" spans="1:2" x14ac:dyDescent="0.15">
      <c r="A11" s="1">
        <v>3</v>
      </c>
      <c r="B11" s="38" t="s">
        <v>67</v>
      </c>
    </row>
    <row r="12" spans="1:2" x14ac:dyDescent="0.15">
      <c r="A12" s="1">
        <v>4</v>
      </c>
      <c r="B12" s="38" t="s">
        <v>66</v>
      </c>
    </row>
    <row r="13" spans="1:2" x14ac:dyDescent="0.15">
      <c r="A13" s="1">
        <v>5</v>
      </c>
      <c r="B13" s="38" t="s">
        <v>65</v>
      </c>
    </row>
    <row r="14" spans="1:2" x14ac:dyDescent="0.15">
      <c r="A14" s="1">
        <v>6</v>
      </c>
      <c r="B14" s="38" t="s">
        <v>64</v>
      </c>
    </row>
    <row r="16" spans="1:2" x14ac:dyDescent="0.15">
      <c r="A16" s="39"/>
      <c r="B16" s="38" t="s">
        <v>63</v>
      </c>
    </row>
    <row r="18" spans="1:2" x14ac:dyDescent="0.15">
      <c r="A18" s="16"/>
      <c r="B18" s="1" t="str">
        <f>"Angiv med et 'x' til venstre herfor, hvis der ingen SFO er i "&amp;aarstal&amp;"!"</f>
        <v>Angiv med et 'x' til venstre herfor, hvis der ingen SFO er i 2018!</v>
      </c>
    </row>
    <row r="19" spans="1:2" x14ac:dyDescent="0.15">
      <c r="A19" s="16"/>
      <c r="B19" s="1" t="str">
        <f>"Angiv med et 'x' til venstre herfor, hvis der ingen pedel-lønudgift er i "&amp;aarstal&amp;"!"</f>
        <v>Angiv med et 'x' til venstre herfor, hvis der ingen pedel-lønudgift er i 2018!</v>
      </c>
    </row>
    <row r="20" spans="1:2" x14ac:dyDescent="0.15">
      <c r="A20" s="16"/>
      <c r="B20" s="1" t="str">
        <f>"Angiv med et 'x' til venstre herfor, hvis der ingen sekretær-lønudgift er i "&amp;aarstal&amp;"!"</f>
        <v>Angiv med et 'x' til venstre herfor, hvis der ingen sekretær-lønudgift er i 2018!</v>
      </c>
    </row>
    <row r="21" spans="1:2" x14ac:dyDescent="0.15">
      <c r="A21" s="16"/>
      <c r="B21" s="1" t="str">
        <f>"Angiv med et 'x' til venstre herfor, hvis der ingen SFO er i "&amp;aarstal+1&amp;"!"</f>
        <v>Angiv med et 'x' til venstre herfor, hvis der ingen SFO er i 2019!</v>
      </c>
    </row>
    <row r="22" spans="1:2" x14ac:dyDescent="0.15">
      <c r="A22" s="16"/>
      <c r="B22" s="1" t="str">
        <f>"Angiv med et 'x' til venstre herfor, hvis der ingen pedel-lønudgift er i "&amp;aarstal+1&amp;"!"</f>
        <v>Angiv med et 'x' til venstre herfor, hvis der ingen pedel-lønudgift er i 2019!</v>
      </c>
    </row>
    <row r="23" spans="1:2" x14ac:dyDescent="0.15">
      <c r="A23" s="16"/>
      <c r="B23" s="1" t="str">
        <f>"Angiv med et 'x' til venstre herfor, hvis der ingen sekretær-lønudgift er i "&amp;aarstal+1&amp;"!"</f>
        <v>Angiv med et 'x' til venstre herfor, hvis der ingen sekretær-lønudgift er i 2019!</v>
      </c>
    </row>
    <row r="24" spans="1:2" ht="79" customHeight="1" x14ac:dyDescent="0.15">
      <c r="B24" s="40" t="s">
        <v>559</v>
      </c>
    </row>
    <row r="25" spans="1:2" ht="42" customHeight="1" x14ac:dyDescent="0.15">
      <c r="B25" s="40" t="s">
        <v>446</v>
      </c>
    </row>
    <row r="26" spans="1:2" ht="39" customHeight="1" x14ac:dyDescent="0.15">
      <c r="B26" s="40" t="s">
        <v>462</v>
      </c>
    </row>
    <row r="27" spans="1:2" x14ac:dyDescent="0.15">
      <c r="B27" s="1" t="s">
        <v>337</v>
      </c>
    </row>
    <row r="29" spans="1:2" x14ac:dyDescent="0.15">
      <c r="B29" s="272" t="s">
        <v>395</v>
      </c>
    </row>
    <row r="30" spans="1:2" ht="35" customHeight="1" x14ac:dyDescent="0.15">
      <c r="B30" s="273" t="s">
        <v>384</v>
      </c>
    </row>
    <row r="31" spans="1:2" x14ac:dyDescent="0.15">
      <c r="B31" s="137" t="s">
        <v>383</v>
      </c>
    </row>
    <row r="32" spans="1:2" ht="59" customHeight="1" x14ac:dyDescent="0.15">
      <c r="B32" s="273" t="s">
        <v>385</v>
      </c>
    </row>
    <row r="33" spans="2:2" ht="39" x14ac:dyDescent="0.15">
      <c r="B33" s="273" t="s">
        <v>386</v>
      </c>
    </row>
  </sheetData>
  <sheetProtection sheet="1" objects="1" scenarios="1" formatCells="0" formatColumns="0" formatRows="0"/>
  <pageMargins left="0.75" right="0.75" top="1" bottom="1" header="0.5" footer="0.5"/>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I46"/>
  <sheetViews>
    <sheetView topLeftCell="A34" zoomScale="150" zoomScaleNormal="150" zoomScalePageLayoutView="150" workbookViewId="0">
      <selection activeCell="D45" sqref="D45"/>
    </sheetView>
  </sheetViews>
  <sheetFormatPr baseColWidth="10" defaultColWidth="10.83203125" defaultRowHeight="13" x14ac:dyDescent="0.15"/>
  <cols>
    <col min="1" max="1" width="3" style="1" bestFit="1" customWidth="1"/>
    <col min="2" max="2" width="38.1640625" style="1" customWidth="1"/>
    <col min="3" max="3" width="14.33203125" style="1" customWidth="1"/>
    <col min="4" max="4" width="17.1640625" style="1" customWidth="1"/>
    <col min="5" max="5" width="14.33203125" style="1" customWidth="1"/>
    <col min="6" max="6" width="17.1640625" style="1" customWidth="1"/>
    <col min="7" max="7" width="14.1640625" style="1" customWidth="1"/>
    <col min="8" max="8" width="17.1640625" style="1" customWidth="1"/>
    <col min="9" max="9" width="16.83203125" style="1" customWidth="1"/>
    <col min="10" max="16384" width="10.83203125" style="1"/>
  </cols>
  <sheetData>
    <row r="1" spans="1:9" x14ac:dyDescent="0.15">
      <c r="B1" s="42" t="str">
        <f>"Baseret på gennemsnitstal pr. elev fra "&amp;aarstal-2&amp;" fremregnet med et antal %, som fremgår af kolonnerne C, E og G"</f>
        <v>Baseret på gennemsnitstal pr. elev fra 2016 fremregnet med et antal %, som fremgår af kolonnerne C, E og G</v>
      </c>
    </row>
    <row r="2" spans="1:9" x14ac:dyDescent="0.15">
      <c r="B2" s="42" t="s">
        <v>396</v>
      </c>
    </row>
    <row r="4" spans="1:9" x14ac:dyDescent="0.15">
      <c r="D4" s="2" t="str">
        <f>"AUG - DEC "&amp;aarstal</f>
        <v>AUG - DEC 2018</v>
      </c>
      <c r="E4" s="3"/>
      <c r="F4" s="2" t="str">
        <f>"JAN - JULI "&amp;aarstal+1</f>
        <v>JAN - JULI 2019</v>
      </c>
      <c r="G4" s="3"/>
      <c r="H4" s="4" t="str">
        <f>"AUG - DEC "&amp;aarstal+1</f>
        <v>AUG - DEC 2019</v>
      </c>
      <c r="I4" s="5" t="str">
        <f>"Hele "&amp;aarstal+1</f>
        <v>Hele 2019</v>
      </c>
    </row>
    <row r="5" spans="1:9" x14ac:dyDescent="0.15">
      <c r="A5" s="6"/>
      <c r="B5" s="7" t="s">
        <v>74</v>
      </c>
      <c r="C5" s="8"/>
      <c r="D5" s="9" t="e">
        <f>VLOOKUP(region,reg,2,0)</f>
        <v>#N/A</v>
      </c>
      <c r="E5" s="10"/>
      <c r="F5" s="11"/>
      <c r="H5" s="12"/>
      <c r="I5" s="13"/>
    </row>
    <row r="6" spans="1:9" x14ac:dyDescent="0.15">
      <c r="A6" s="14"/>
      <c r="B6" s="15" t="s">
        <v>75</v>
      </c>
      <c r="C6" s="8"/>
      <c r="D6" s="9">
        <f>Start!A5</f>
        <v>0</v>
      </c>
      <c r="E6" s="10"/>
      <c r="F6" s="16">
        <f>D6</f>
        <v>0</v>
      </c>
      <c r="H6" s="17">
        <f>F6+26</f>
        <v>26</v>
      </c>
      <c r="I6" s="13"/>
    </row>
    <row r="7" spans="1:9" ht="39" x14ac:dyDescent="0.15">
      <c r="A7" s="14" t="s">
        <v>43</v>
      </c>
      <c r="B7" s="18"/>
      <c r="C7" s="19" t="str">
        <f>"procent-frem-skrivning
i forh. til "&amp;aarstal-2</f>
        <v>procent-frem-skrivning_x000D_i forh. til 2016</v>
      </c>
      <c r="D7" s="46"/>
      <c r="E7" s="19" t="str">
        <f>"procent-frem-skrivning
i forh. til "&amp;aarstal-2</f>
        <v>procent-frem-skrivning_x000D_i forh. til 2016</v>
      </c>
      <c r="F7" s="46"/>
      <c r="G7" s="19" t="str">
        <f>"procent-frem-skrivning
i forh. til "&amp;aarstal-2</f>
        <v>procent-frem-skrivning_x000D_i forh. til 2016</v>
      </c>
      <c r="H7" s="47"/>
      <c r="I7" s="48"/>
    </row>
    <row r="8" spans="1:9" x14ac:dyDescent="0.15">
      <c r="A8" s="14">
        <v>1</v>
      </c>
      <c r="B8" s="15" t="s">
        <v>40</v>
      </c>
      <c r="C8" s="20">
        <v>0.02</v>
      </c>
      <c r="D8" s="61" t="e">
        <f ca="1">IF(kolonne&lt;&gt;"",INDIRECT("Statistik!"&amp;kolonne&amp;ROW()),"")*D$6*5/12*(1+C8)</f>
        <v>#N/A</v>
      </c>
      <c r="E8" s="21">
        <f>C8</f>
        <v>0.02</v>
      </c>
      <c r="F8" s="61" t="e">
        <f ca="1">IF(kolonne&lt;&gt;"",INDIRECT("Statistik!"&amp;kolonne&amp;ROW()),"")*D$6*7/12*(1+E8)</f>
        <v>#N/A</v>
      </c>
      <c r="G8" s="21">
        <f>E8</f>
        <v>0.02</v>
      </c>
      <c r="H8" s="61" t="e">
        <f ca="1">IF(kolonne&lt;&gt;"",INDIRECT("Statistik!"&amp;kolonne&amp;ROW()),"")*H$6*5/12*(1+G8)</f>
        <v>#N/A</v>
      </c>
      <c r="I8" s="69" t="e">
        <f ca="1">F8+H8</f>
        <v>#N/A</v>
      </c>
    </row>
    <row r="9" spans="1:9" x14ac:dyDescent="0.15">
      <c r="A9" s="14">
        <v>2</v>
      </c>
      <c r="B9" s="15" t="s">
        <v>39</v>
      </c>
      <c r="C9" s="20">
        <v>1.0999999999999999E-2</v>
      </c>
      <c r="D9" s="61" t="e">
        <f ca="1">IF(kolonne&lt;&gt;"",INDIRECT("Statistik!"&amp;kolonne&amp;ROW()),"")*D$6*5/12*(1+C9)</f>
        <v>#N/A</v>
      </c>
      <c r="E9" s="21">
        <f>C9*1.5</f>
        <v>1.6500000000000001E-2</v>
      </c>
      <c r="F9" s="61" t="e">
        <f ca="1">IF(kolonne&lt;&gt;"",INDIRECT("Statistik!"&amp;kolonne&amp;ROW()),"")*F$6*7/12*(1+E9)</f>
        <v>#N/A</v>
      </c>
      <c r="G9" s="21">
        <f>E9</f>
        <v>1.6500000000000001E-2</v>
      </c>
      <c r="H9" s="61" t="e">
        <f ca="1">IF(kolonne&lt;&gt;"",INDIRECT("Statistik!"&amp;kolonne&amp;ROW()),"")*H$6*5/12*(1+G9)</f>
        <v>#N/A</v>
      </c>
      <c r="I9" s="69" t="e">
        <f t="shared" ref="I9:I43" ca="1" si="0">F9+H9</f>
        <v>#N/A</v>
      </c>
    </row>
    <row r="10" spans="1:9" x14ac:dyDescent="0.15">
      <c r="A10" s="14">
        <v>3</v>
      </c>
      <c r="B10" s="15" t="s">
        <v>447</v>
      </c>
      <c r="C10" s="20">
        <v>0.02</v>
      </c>
      <c r="D10" s="61" t="e">
        <f ca="1">IF(kolonne&lt;&gt;"",INDIRECT("Statistik!"&amp;kolonne&amp;ROW()),"")*D$6*5/12*(1+C10)</f>
        <v>#N/A</v>
      </c>
      <c r="E10" s="21">
        <f>C10*1.5</f>
        <v>0.03</v>
      </c>
      <c r="F10" s="61" t="e">
        <f ca="1">IF(kolonne&lt;&gt;"",INDIRECT("Statistik!"&amp;kolonne&amp;ROW()),"")*F$6*7/12*(1+E10)</f>
        <v>#N/A</v>
      </c>
      <c r="G10" s="21">
        <f>E10</f>
        <v>0.03</v>
      </c>
      <c r="H10" s="61" t="e">
        <f ca="1">IF(kolonne&lt;&gt;"",INDIRECT("Statistik!"&amp;kolonne&amp;ROW()),"")*H$6*5/12*(1+G10)</f>
        <v>#N/A</v>
      </c>
      <c r="I10" s="69" t="e">
        <f t="shared" ca="1" si="0"/>
        <v>#N/A</v>
      </c>
    </row>
    <row r="11" spans="1:9" x14ac:dyDescent="0.15">
      <c r="A11" s="14">
        <v>4</v>
      </c>
      <c r="B11" s="15" t="s">
        <v>38</v>
      </c>
      <c r="C11" s="20">
        <v>0.02</v>
      </c>
      <c r="D11" s="61" t="e">
        <f ca="1">IF(kolonne&lt;&gt;"",INDIRECT("Statistik!"&amp;kolonne&amp;ROW()),"")*D$6*5/12*(1+C11)</f>
        <v>#N/A</v>
      </c>
      <c r="E11" s="21">
        <f>C11*1.5</f>
        <v>0.03</v>
      </c>
      <c r="F11" s="61" t="e">
        <f ca="1">IF(kolonne&lt;&gt;"",INDIRECT("Statistik!"&amp;kolonne&amp;ROW()),"")*F$6*7/12*(1+E11)</f>
        <v>#N/A</v>
      </c>
      <c r="G11" s="21">
        <f>E11</f>
        <v>0.03</v>
      </c>
      <c r="H11" s="61" t="e">
        <f ca="1">IF(kolonne&lt;&gt;"",INDIRECT("Statistik!"&amp;kolonne&amp;ROW()),"")*H$6*5/12*(1+G11)</f>
        <v>#N/A</v>
      </c>
      <c r="I11" s="69" t="e">
        <f t="shared" ca="1" si="0"/>
        <v>#N/A</v>
      </c>
    </row>
    <row r="12" spans="1:9" x14ac:dyDescent="0.15">
      <c r="A12" s="14">
        <v>5</v>
      </c>
      <c r="B12" s="15" t="s">
        <v>448</v>
      </c>
      <c r="C12" s="20">
        <v>0.02</v>
      </c>
      <c r="D12" s="61" t="e">
        <f ca="1">IF(kolonne&lt;&gt;"",INDIRECT("Statistik!"&amp;kolonne&amp;ROW()),"")*D$6*5/12*(1+C12)</f>
        <v>#N/A</v>
      </c>
      <c r="E12" s="21">
        <f>C12*1.5</f>
        <v>0.03</v>
      </c>
      <c r="F12" s="61" t="e">
        <f ca="1">IF(kolonne&lt;&gt;"",INDIRECT("Statistik!"&amp;kolonne&amp;ROW()),"")*F$6*7/12*(1+E12)</f>
        <v>#N/A</v>
      </c>
      <c r="G12" s="21">
        <f>E12</f>
        <v>0.03</v>
      </c>
      <c r="H12" s="61" t="e">
        <f ca="1">IF(kolonne&lt;&gt;"",INDIRECT("Statistik!"&amp;kolonne&amp;ROW()),"")*H$6*5/12*(1+G12)</f>
        <v>#N/A</v>
      </c>
      <c r="I12" s="69" t="e">
        <f t="shared" ca="1" si="0"/>
        <v>#N/A</v>
      </c>
    </row>
    <row r="13" spans="1:9" x14ac:dyDescent="0.15">
      <c r="A13" s="22">
        <v>6</v>
      </c>
      <c r="B13" s="23" t="s">
        <v>449</v>
      </c>
      <c r="C13" s="24"/>
      <c r="D13" s="62" t="e">
        <f ca="1">SUM(D8:D12)</f>
        <v>#N/A</v>
      </c>
      <c r="E13" s="25"/>
      <c r="F13" s="62" t="e">
        <f ca="1">SUM(F8:F12)</f>
        <v>#N/A</v>
      </c>
      <c r="G13" s="25"/>
      <c r="H13" s="62" t="e">
        <f ca="1">SUM(H8:H12)</f>
        <v>#N/A</v>
      </c>
      <c r="I13" s="70" t="e">
        <f t="shared" ca="1" si="0"/>
        <v>#N/A</v>
      </c>
    </row>
    <row r="14" spans="1:9" x14ac:dyDescent="0.15">
      <c r="A14" s="14">
        <v>7</v>
      </c>
      <c r="B14" s="15" t="s">
        <v>450</v>
      </c>
      <c r="C14" s="20">
        <v>0.02</v>
      </c>
      <c r="D14" s="61" t="e">
        <f ca="1">IF(kolonne&lt;&gt;"",INDIRECT("Statistik!"&amp;kolonne&amp;ROW()),"")*D$6*5/12*(1+C14)</f>
        <v>#N/A</v>
      </c>
      <c r="E14" s="21">
        <f>C14*1.5</f>
        <v>0.03</v>
      </c>
      <c r="F14" s="61" t="e">
        <f ca="1">IF(kolonne&lt;&gt;"",INDIRECT("Statistik!"&amp;kolonne&amp;ROW()),"")*F$6*7/12*(1+E14)</f>
        <v>#N/A</v>
      </c>
      <c r="G14" s="21">
        <f>E14</f>
        <v>0.03</v>
      </c>
      <c r="H14" s="61" t="e">
        <f ca="1">IF(kolonne&lt;&gt;"",INDIRECT("Statistik!"&amp;kolonne&amp;ROW()),"")*H$6*5/12*(1+G14)</f>
        <v>#N/A</v>
      </c>
      <c r="I14" s="69" t="e">
        <f t="shared" ca="1" si="0"/>
        <v>#N/A</v>
      </c>
    </row>
    <row r="15" spans="1:9" x14ac:dyDescent="0.15">
      <c r="A15" s="14">
        <v>8</v>
      </c>
      <c r="B15" s="15" t="s">
        <v>37</v>
      </c>
      <c r="C15" s="20">
        <v>0.02</v>
      </c>
      <c r="D15" s="61" t="e">
        <f ca="1">IF(kolonne&lt;&gt;"",INDIRECT("Statistik!"&amp;kolonne&amp;ROW()),"")*D$6*5/12*(1+C15)</f>
        <v>#N/A</v>
      </c>
      <c r="E15" s="21">
        <f>C15*1.5</f>
        <v>0.03</v>
      </c>
      <c r="F15" s="61" t="e">
        <f ca="1">IF(kolonne&lt;&gt;"",INDIRECT("Statistik!"&amp;kolonne&amp;ROW()),"")*F$6*7/12*(1+E15)</f>
        <v>#N/A</v>
      </c>
      <c r="G15" s="21">
        <f>E15</f>
        <v>0.03</v>
      </c>
      <c r="H15" s="61" t="e">
        <f ca="1">IF(kolonne&lt;&gt;"",INDIRECT("Statistik!"&amp;kolonne&amp;ROW()),"")*H$6*5/12*(1+G15)</f>
        <v>#N/A</v>
      </c>
      <c r="I15" s="69" t="e">
        <f t="shared" ca="1" si="0"/>
        <v>#N/A</v>
      </c>
    </row>
    <row r="16" spans="1:9" x14ac:dyDescent="0.15">
      <c r="A16" s="14">
        <v>9</v>
      </c>
      <c r="B16" s="15" t="s">
        <v>36</v>
      </c>
      <c r="C16" s="20">
        <v>0.02</v>
      </c>
      <c r="D16" s="61" t="e">
        <f ca="1">IF(kolonne&lt;&gt;"",INDIRECT("Statistik!"&amp;kolonne&amp;ROW()),"")*D$6*5/12*(1+C16)</f>
        <v>#N/A</v>
      </c>
      <c r="E16" s="21">
        <f>C16*1.5</f>
        <v>0.03</v>
      </c>
      <c r="F16" s="61" t="e">
        <f ca="1">IF(kolonne&lt;&gt;"",INDIRECT("Statistik!"&amp;kolonne&amp;ROW()),"")*F$6*7/12*(1+E16)</f>
        <v>#N/A</v>
      </c>
      <c r="G16" s="21">
        <f>E16</f>
        <v>0.03</v>
      </c>
      <c r="H16" s="61" t="e">
        <f ca="1">IF(kolonne&lt;&gt;"",INDIRECT("Statistik!"&amp;kolonne&amp;ROW()),"")*H$6*5/12*(1+G16)</f>
        <v>#N/A</v>
      </c>
      <c r="I16" s="69" t="e">
        <f t="shared" ca="1" si="0"/>
        <v>#N/A</v>
      </c>
    </row>
    <row r="17" spans="1:9" x14ac:dyDescent="0.15">
      <c r="A17" s="14">
        <v>10</v>
      </c>
      <c r="B17" s="15" t="s">
        <v>451</v>
      </c>
      <c r="C17" s="20">
        <v>0.02</v>
      </c>
      <c r="D17" s="61" t="e">
        <f ca="1">IF(kolonne&lt;&gt;"",INDIRECT("Statistik!"&amp;kolonne&amp;ROW()),"")*D$6*5/12*(1+C17)</f>
        <v>#N/A</v>
      </c>
      <c r="E17" s="21">
        <f>C17*1.5</f>
        <v>0.03</v>
      </c>
      <c r="F17" s="61" t="e">
        <f ca="1">IF(kolonne&lt;&gt;"",INDIRECT("Statistik!"&amp;kolonne&amp;ROW()),"")*F$6*7/12*(1+E17)</f>
        <v>#N/A</v>
      </c>
      <c r="G17" s="21">
        <f>E17</f>
        <v>0.03</v>
      </c>
      <c r="H17" s="61" t="e">
        <f ca="1">IF(kolonne&lt;&gt;"",INDIRECT("Statistik!"&amp;kolonne&amp;ROW()),"")*H$6*5/12*(1+G17)</f>
        <v>#N/A</v>
      </c>
      <c r="I17" s="69" t="e">
        <f t="shared" ca="1" si="0"/>
        <v>#N/A</v>
      </c>
    </row>
    <row r="18" spans="1:9" x14ac:dyDescent="0.15">
      <c r="A18" s="22">
        <v>11</v>
      </c>
      <c r="B18" s="23" t="s">
        <v>452</v>
      </c>
      <c r="C18" s="24"/>
      <c r="D18" s="62" t="e">
        <f ca="1">SUM(D14:D17)</f>
        <v>#N/A</v>
      </c>
      <c r="E18" s="25"/>
      <c r="F18" s="62" t="e">
        <f ca="1">SUM(F14:F17)</f>
        <v>#N/A</v>
      </c>
      <c r="G18" s="25"/>
      <c r="H18" s="62" t="e">
        <f ca="1">SUM(H14:H17)</f>
        <v>#N/A</v>
      </c>
      <c r="I18" s="70" t="e">
        <f t="shared" ca="1" si="0"/>
        <v>#N/A</v>
      </c>
    </row>
    <row r="19" spans="1:9" x14ac:dyDescent="0.15">
      <c r="A19" s="14">
        <v>12</v>
      </c>
      <c r="B19" s="15" t="s">
        <v>322</v>
      </c>
      <c r="C19" s="20">
        <v>0.02</v>
      </c>
      <c r="D19" s="61" t="e">
        <f t="shared" ref="D19:D24" ca="1" si="1">IF(kolonne&lt;&gt;"",INDIRECT("Statistik!"&amp;kolonne&amp;ROW()),"")*D$6*5/12*(1+C19)</f>
        <v>#N/A</v>
      </c>
      <c r="E19" s="21">
        <f t="shared" ref="E19:E24" si="2">C19*1.5</f>
        <v>0.03</v>
      </c>
      <c r="F19" s="61" t="e">
        <f t="shared" ref="F19:F24" ca="1" si="3">IF(kolonne&lt;&gt;"",INDIRECT("Statistik!"&amp;kolonne&amp;ROW()),"")*F$6*7/12*(1+E19)</f>
        <v>#N/A</v>
      </c>
      <c r="G19" s="21">
        <f t="shared" ref="G19:G24" si="4">E19</f>
        <v>0.03</v>
      </c>
      <c r="H19" s="61" t="e">
        <f t="shared" ref="H19:H24" ca="1" si="5">IF(kolonne&lt;&gt;"",INDIRECT("Statistik!"&amp;kolonne&amp;ROW()),"")*H$6*5/12*(1+G19)</f>
        <v>#N/A</v>
      </c>
      <c r="I19" s="69" t="e">
        <f t="shared" ca="1" si="0"/>
        <v>#N/A</v>
      </c>
    </row>
    <row r="20" spans="1:9" x14ac:dyDescent="0.15">
      <c r="A20" s="14">
        <v>13</v>
      </c>
      <c r="B20" s="15" t="s">
        <v>453</v>
      </c>
      <c r="C20" s="20">
        <v>0.02</v>
      </c>
      <c r="D20" s="61" t="e">
        <f t="shared" ca="1" si="1"/>
        <v>#N/A</v>
      </c>
      <c r="E20" s="21">
        <f t="shared" si="2"/>
        <v>0.03</v>
      </c>
      <c r="F20" s="61" t="e">
        <f t="shared" ca="1" si="3"/>
        <v>#N/A</v>
      </c>
      <c r="G20" s="21">
        <f t="shared" si="4"/>
        <v>0.03</v>
      </c>
      <c r="H20" s="61" t="e">
        <f t="shared" ca="1" si="5"/>
        <v>#N/A</v>
      </c>
      <c r="I20" s="69" t="e">
        <f t="shared" ca="1" si="0"/>
        <v>#N/A</v>
      </c>
    </row>
    <row r="21" spans="1:9" x14ac:dyDescent="0.15">
      <c r="A21" s="14">
        <v>14</v>
      </c>
      <c r="B21" s="15" t="s">
        <v>34</v>
      </c>
      <c r="C21" s="20">
        <v>0.02</v>
      </c>
      <c r="D21" s="61" t="e">
        <f t="shared" ca="1" si="1"/>
        <v>#N/A</v>
      </c>
      <c r="E21" s="21">
        <f t="shared" si="2"/>
        <v>0.03</v>
      </c>
      <c r="F21" s="61" t="e">
        <f t="shared" ca="1" si="3"/>
        <v>#N/A</v>
      </c>
      <c r="G21" s="21">
        <f t="shared" si="4"/>
        <v>0.03</v>
      </c>
      <c r="H21" s="61" t="e">
        <f t="shared" ca="1" si="5"/>
        <v>#N/A</v>
      </c>
      <c r="I21" s="69" t="e">
        <f t="shared" ca="1" si="0"/>
        <v>#N/A</v>
      </c>
    </row>
    <row r="22" spans="1:9" x14ac:dyDescent="0.15">
      <c r="A22" s="14">
        <v>15</v>
      </c>
      <c r="B22" s="15" t="s">
        <v>33</v>
      </c>
      <c r="C22" s="20">
        <v>0.02</v>
      </c>
      <c r="D22" s="61" t="e">
        <f t="shared" ca="1" si="1"/>
        <v>#N/A</v>
      </c>
      <c r="E22" s="21">
        <f t="shared" si="2"/>
        <v>0.03</v>
      </c>
      <c r="F22" s="61" t="e">
        <f t="shared" ca="1" si="3"/>
        <v>#N/A</v>
      </c>
      <c r="G22" s="21">
        <f t="shared" si="4"/>
        <v>0.03</v>
      </c>
      <c r="H22" s="61" t="e">
        <f t="shared" ca="1" si="5"/>
        <v>#N/A</v>
      </c>
      <c r="I22" s="69" t="e">
        <f t="shared" ca="1" si="0"/>
        <v>#N/A</v>
      </c>
    </row>
    <row r="23" spans="1:9" x14ac:dyDescent="0.15">
      <c r="A23" s="14">
        <v>16</v>
      </c>
      <c r="B23" s="15" t="s">
        <v>32</v>
      </c>
      <c r="C23" s="20">
        <v>0.02</v>
      </c>
      <c r="D23" s="61" t="e">
        <f t="shared" ca="1" si="1"/>
        <v>#N/A</v>
      </c>
      <c r="E23" s="21">
        <f t="shared" si="2"/>
        <v>0.03</v>
      </c>
      <c r="F23" s="61" t="e">
        <f t="shared" ca="1" si="3"/>
        <v>#N/A</v>
      </c>
      <c r="G23" s="21">
        <f t="shared" si="4"/>
        <v>0.03</v>
      </c>
      <c r="H23" s="61" t="e">
        <f t="shared" ca="1" si="5"/>
        <v>#N/A</v>
      </c>
      <c r="I23" s="69" t="e">
        <f t="shared" ca="1" si="0"/>
        <v>#N/A</v>
      </c>
    </row>
    <row r="24" spans="1:9" x14ac:dyDescent="0.15">
      <c r="A24" s="14">
        <v>17</v>
      </c>
      <c r="B24" s="15" t="s">
        <v>454</v>
      </c>
      <c r="C24" s="20">
        <v>0.02</v>
      </c>
      <c r="D24" s="61" t="e">
        <f t="shared" ca="1" si="1"/>
        <v>#N/A</v>
      </c>
      <c r="E24" s="21">
        <f t="shared" si="2"/>
        <v>0.03</v>
      </c>
      <c r="F24" s="61" t="e">
        <f t="shared" ca="1" si="3"/>
        <v>#N/A</v>
      </c>
      <c r="G24" s="21">
        <f t="shared" si="4"/>
        <v>0.03</v>
      </c>
      <c r="H24" s="61" t="e">
        <f t="shared" ca="1" si="5"/>
        <v>#N/A</v>
      </c>
      <c r="I24" s="69" t="e">
        <f t="shared" ca="1" si="0"/>
        <v>#N/A</v>
      </c>
    </row>
    <row r="25" spans="1:9" x14ac:dyDescent="0.15">
      <c r="A25" s="22">
        <v>18</v>
      </c>
      <c r="B25" s="23" t="s">
        <v>455</v>
      </c>
      <c r="C25" s="24"/>
      <c r="D25" s="62" t="e">
        <f ca="1">SUM(D19:D24)</f>
        <v>#N/A</v>
      </c>
      <c r="E25" s="25"/>
      <c r="F25" s="62" t="e">
        <f ca="1">SUM(F19:F24)</f>
        <v>#N/A</v>
      </c>
      <c r="G25" s="25"/>
      <c r="H25" s="62" t="e">
        <f ca="1">SUM(H19:H24)</f>
        <v>#N/A</v>
      </c>
      <c r="I25" s="70" t="e">
        <f t="shared" ca="1" si="0"/>
        <v>#N/A</v>
      </c>
    </row>
    <row r="26" spans="1:9" x14ac:dyDescent="0.15">
      <c r="A26" s="22">
        <v>19</v>
      </c>
      <c r="B26" s="23" t="s">
        <v>31</v>
      </c>
      <c r="C26" s="24"/>
      <c r="D26" s="63" t="e">
        <f ca="1">IF(kolonne&lt;&gt;"",INDIRECT("Statistik!"&amp;kolonne&amp;ROW()),"")*D$6*5/12*(1+C26)</f>
        <v>#N/A</v>
      </c>
      <c r="E26" s="25"/>
      <c r="F26" s="63" t="e">
        <f ca="1">IF(kolonne&lt;&gt;"",INDIRECT("Statistik!"&amp;kolonne&amp;ROW()),"")*F$6*7/12*(1+E26)</f>
        <v>#N/A</v>
      </c>
      <c r="G26" s="25"/>
      <c r="H26" s="63" t="e">
        <f ca="1">IF(kolonne&lt;&gt;"",INDIRECT("Statistik!"&amp;kolonne&amp;ROW()),"")*H$6*5/12*(1+G26)</f>
        <v>#N/A</v>
      </c>
      <c r="I26" s="70" t="e">
        <f t="shared" ca="1" si="0"/>
        <v>#N/A</v>
      </c>
    </row>
    <row r="27" spans="1:9" x14ac:dyDescent="0.15">
      <c r="A27" s="14">
        <v>20</v>
      </c>
      <c r="B27" s="15" t="s">
        <v>30</v>
      </c>
      <c r="C27" s="20">
        <v>0.02</v>
      </c>
      <c r="D27" s="61" t="e">
        <f ca="1">IF(kolonne&lt;&gt;"",INDIRECT("Statistik!"&amp;kolonne&amp;ROW()),"")*D$6*5/12*(1+C27)</f>
        <v>#N/A</v>
      </c>
      <c r="E27" s="21">
        <f>C27*1.5</f>
        <v>0.03</v>
      </c>
      <c r="F27" s="61" t="e">
        <f ca="1">IF(kolonne&lt;&gt;"",INDIRECT("Statistik!"&amp;kolonne&amp;ROW()),"")*F$6*7/12*(1+E27)</f>
        <v>#N/A</v>
      </c>
      <c r="G27" s="21">
        <f>E27</f>
        <v>0.03</v>
      </c>
      <c r="H27" s="61" t="e">
        <f ca="1">IF(kolonne&lt;&gt;"",INDIRECT("Statistik!"&amp;kolonne&amp;ROW()),"")*H$6*5/12*(1+G27)</f>
        <v>#N/A</v>
      </c>
      <c r="I27" s="69" t="e">
        <f t="shared" ca="1" si="0"/>
        <v>#N/A</v>
      </c>
    </row>
    <row r="28" spans="1:9" x14ac:dyDescent="0.15">
      <c r="A28" s="14">
        <v>21</v>
      </c>
      <c r="B28" s="15" t="s">
        <v>456</v>
      </c>
      <c r="C28" s="20">
        <v>0.02</v>
      </c>
      <c r="D28" s="61" t="e">
        <f ca="1">IF(kolonne&lt;&gt;"",INDIRECT("Statistik!"&amp;kolonne&amp;ROW()),"")*D$6*5/12*(1+C28)</f>
        <v>#N/A</v>
      </c>
      <c r="E28" s="21">
        <f>C28*1.5</f>
        <v>0.03</v>
      </c>
      <c r="F28" s="61" t="e">
        <f ca="1">IF(kolonne&lt;&gt;"",INDIRECT("Statistik!"&amp;kolonne&amp;ROW()),"")*F$6*7/12*(1+E28)</f>
        <v>#N/A</v>
      </c>
      <c r="G28" s="21">
        <f>E28</f>
        <v>0.03</v>
      </c>
      <c r="H28" s="61" t="e">
        <f ca="1">IF(kolonne&lt;&gt;"",INDIRECT("Statistik!"&amp;kolonne&amp;ROW()),"")*H$6*5/12*(1+G28)</f>
        <v>#N/A</v>
      </c>
      <c r="I28" s="69" t="e">
        <f t="shared" ca="1" si="0"/>
        <v>#N/A</v>
      </c>
    </row>
    <row r="29" spans="1:9" x14ac:dyDescent="0.15">
      <c r="A29" s="22">
        <v>22</v>
      </c>
      <c r="B29" s="23" t="s">
        <v>457</v>
      </c>
      <c r="C29" s="24"/>
      <c r="D29" s="62" t="e">
        <f ca="1">SUM(D27:D28)</f>
        <v>#N/A</v>
      </c>
      <c r="E29" s="25"/>
      <c r="F29" s="62" t="e">
        <f ca="1">SUM(F27:F28)</f>
        <v>#N/A</v>
      </c>
      <c r="G29" s="25"/>
      <c r="H29" s="62" t="e">
        <f ca="1">SUM(H27:H28)</f>
        <v>#N/A</v>
      </c>
      <c r="I29" s="70" t="e">
        <f t="shared" ca="1" si="0"/>
        <v>#N/A</v>
      </c>
    </row>
    <row r="30" spans="1:9" x14ac:dyDescent="0.15">
      <c r="A30" s="22">
        <v>23</v>
      </c>
      <c r="B30" s="23" t="s">
        <v>458</v>
      </c>
      <c r="C30" s="24"/>
      <c r="D30" s="62" t="e">
        <f ca="1">D18+D25+D26+D29</f>
        <v>#N/A</v>
      </c>
      <c r="E30" s="25"/>
      <c r="F30" s="62" t="e">
        <f ca="1">F18+F25+F26+F29</f>
        <v>#N/A</v>
      </c>
      <c r="G30" s="25"/>
      <c r="H30" s="62" t="e">
        <f ca="1">H18+H25+H26+H29</f>
        <v>#N/A</v>
      </c>
      <c r="I30" s="70" t="e">
        <f t="shared" ca="1" si="0"/>
        <v>#N/A</v>
      </c>
    </row>
    <row r="31" spans="1:9" x14ac:dyDescent="0.15">
      <c r="A31" s="22">
        <v>24</v>
      </c>
      <c r="B31" s="23" t="s">
        <v>459</v>
      </c>
      <c r="C31" s="24"/>
      <c r="D31" s="62" t="e">
        <f ca="1">D13-D30</f>
        <v>#N/A</v>
      </c>
      <c r="E31" s="25"/>
      <c r="F31" s="62" t="e">
        <f ca="1">F13-F30</f>
        <v>#N/A</v>
      </c>
      <c r="G31" s="25"/>
      <c r="H31" s="62" t="e">
        <f ca="1">H13-H30</f>
        <v>#N/A</v>
      </c>
      <c r="I31" s="70" t="e">
        <f t="shared" ca="1" si="0"/>
        <v>#N/A</v>
      </c>
    </row>
    <row r="32" spans="1:9" x14ac:dyDescent="0.15">
      <c r="A32" s="14">
        <v>25</v>
      </c>
      <c r="B32" s="15" t="s">
        <v>29</v>
      </c>
      <c r="C32" s="20">
        <v>5.0000000000000001E-3</v>
      </c>
      <c r="D32" s="61" t="e">
        <f ca="1">IF(kolonne&lt;&gt;"",INDIRECT("Statistik!"&amp;kolonne&amp;ROW()),"")*D$6*5/12*(1+C32)</f>
        <v>#N/A</v>
      </c>
      <c r="E32" s="21">
        <f>C32*1.5</f>
        <v>7.4999999999999997E-3</v>
      </c>
      <c r="F32" s="61" t="e">
        <f ca="1">IF(kolonne&lt;&gt;"",INDIRECT("Statistik!"&amp;kolonne&amp;ROW()),"")*F$6*7/12*(1+E32)</f>
        <v>#N/A</v>
      </c>
      <c r="G32" s="21">
        <f>E32</f>
        <v>7.4999999999999997E-3</v>
      </c>
      <c r="H32" s="61" t="e">
        <f ca="1">IF(kolonne&lt;&gt;"",INDIRECT("Statistik!"&amp;kolonne&amp;ROW()),"")*H$6*5/12*(1+G32)</f>
        <v>#N/A</v>
      </c>
      <c r="I32" s="69" t="e">
        <f t="shared" ca="1" si="0"/>
        <v>#N/A</v>
      </c>
    </row>
    <row r="33" spans="1:9" x14ac:dyDescent="0.15">
      <c r="A33" s="14">
        <v>26</v>
      </c>
      <c r="B33" s="15" t="s">
        <v>28</v>
      </c>
      <c r="C33" s="20">
        <v>5.0000000000000001E-3</v>
      </c>
      <c r="D33" s="61" t="e">
        <f ca="1">IF(kolonne&lt;&gt;"",INDIRECT("Statistik!"&amp;kolonne&amp;ROW()),"")*D$6*5/12*(1+C33)</f>
        <v>#N/A</v>
      </c>
      <c r="E33" s="21">
        <f>C33*1.5</f>
        <v>7.4999999999999997E-3</v>
      </c>
      <c r="F33" s="61" t="e">
        <f ca="1">IF(kolonne&lt;&gt;"",INDIRECT("Statistik!"&amp;kolonne&amp;ROW()),"")*F$6*7/12*(1+E33)</f>
        <v>#N/A</v>
      </c>
      <c r="G33" s="21">
        <f>E33</f>
        <v>7.4999999999999997E-3</v>
      </c>
      <c r="H33" s="61" t="e">
        <f ca="1">IF(kolonne&lt;&gt;"",INDIRECT("Statistik!"&amp;kolonne&amp;ROW()),"")*H$6*5/12*(1+G33)</f>
        <v>#N/A</v>
      </c>
      <c r="I33" s="69" t="e">
        <f t="shared" ca="1" si="0"/>
        <v>#N/A</v>
      </c>
    </row>
    <row r="34" spans="1:9" x14ac:dyDescent="0.15">
      <c r="A34" s="14">
        <v>27</v>
      </c>
      <c r="B34" s="15" t="s">
        <v>27</v>
      </c>
      <c r="C34" s="20">
        <v>5.0000000000000001E-3</v>
      </c>
      <c r="D34" s="61" t="e">
        <f ca="1">IF(kolonne&lt;&gt;"",INDIRECT("Statistik!"&amp;kolonne&amp;ROW()),"")*D$6*5/12*(1+C34)</f>
        <v>#N/A</v>
      </c>
      <c r="E34" s="21">
        <f>C34*1.5</f>
        <v>7.4999999999999997E-3</v>
      </c>
      <c r="F34" s="61" t="e">
        <f ca="1">IF(kolonne&lt;&gt;"",INDIRECT("Statistik!"&amp;kolonne&amp;ROW()),"")*F$6*7/12*(1+E34)</f>
        <v>#N/A</v>
      </c>
      <c r="G34" s="21">
        <f>E34</f>
        <v>7.4999999999999997E-3</v>
      </c>
      <c r="H34" s="61" t="e">
        <f ca="1">IF(kolonne&lt;&gt;"",INDIRECT("Statistik!"&amp;kolonne&amp;ROW()),"")*H$6*5/12*(1+G34)</f>
        <v>#N/A</v>
      </c>
      <c r="I34" s="69" t="e">
        <f t="shared" ca="1" si="0"/>
        <v>#N/A</v>
      </c>
    </row>
    <row r="35" spans="1:9" x14ac:dyDescent="0.15">
      <c r="A35" s="22">
        <v>28</v>
      </c>
      <c r="B35" s="23" t="s">
        <v>26</v>
      </c>
      <c r="C35" s="24"/>
      <c r="D35" s="62" t="e">
        <f ca="1">SUM(D32:D34)</f>
        <v>#N/A</v>
      </c>
      <c r="E35" s="25"/>
      <c r="F35" s="62" t="e">
        <f ca="1">SUM(F32:F34)</f>
        <v>#N/A</v>
      </c>
      <c r="G35" s="25"/>
      <c r="H35" s="62" t="e">
        <f ca="1">SUM(H32:H34)</f>
        <v>#N/A</v>
      </c>
      <c r="I35" s="70" t="e">
        <f t="shared" ca="1" si="0"/>
        <v>#N/A</v>
      </c>
    </row>
    <row r="36" spans="1:9" x14ac:dyDescent="0.15">
      <c r="A36" s="22">
        <v>29</v>
      </c>
      <c r="B36" s="23" t="s">
        <v>25</v>
      </c>
      <c r="C36" s="24"/>
      <c r="D36" s="62" t="e">
        <f ca="1">D31+D35</f>
        <v>#N/A</v>
      </c>
      <c r="E36" s="25"/>
      <c r="F36" s="62" t="e">
        <f ca="1">F31+F35</f>
        <v>#N/A</v>
      </c>
      <c r="G36" s="25"/>
      <c r="H36" s="62" t="e">
        <f ca="1">H31+H35</f>
        <v>#N/A</v>
      </c>
      <c r="I36" s="70" t="e">
        <f t="shared" ca="1" si="0"/>
        <v>#N/A</v>
      </c>
    </row>
    <row r="37" spans="1:9" x14ac:dyDescent="0.15">
      <c r="A37" s="14">
        <v>30</v>
      </c>
      <c r="B37" s="15" t="s">
        <v>24</v>
      </c>
      <c r="C37" s="20">
        <v>0</v>
      </c>
      <c r="D37" s="61" t="e">
        <f ca="1">IF(kolonne&lt;&gt;"",INDIRECT("Statistik!"&amp;kolonne&amp;ROW()),"")*D$6*5/12*(1+C37)</f>
        <v>#N/A</v>
      </c>
      <c r="E37" s="21">
        <f>C37*1.5</f>
        <v>0</v>
      </c>
      <c r="F37" s="61" t="e">
        <f ca="1">IF(kolonne&lt;&gt;"",INDIRECT("Statistik!"&amp;kolonne&amp;ROW()),"")*F$6*7/12*(1+E37)</f>
        <v>#N/A</v>
      </c>
      <c r="G37" s="21">
        <f>E37</f>
        <v>0</v>
      </c>
      <c r="H37" s="61" t="e">
        <f ca="1">IF(kolonne&lt;&gt;"",INDIRECT("Statistik!"&amp;kolonne&amp;ROW()),"")*H$6*5/12*(1+G37)</f>
        <v>#N/A</v>
      </c>
      <c r="I37" s="69" t="e">
        <f t="shared" ca="1" si="0"/>
        <v>#N/A</v>
      </c>
    </row>
    <row r="38" spans="1:9" x14ac:dyDescent="0.15">
      <c r="A38" s="22">
        <v>31</v>
      </c>
      <c r="B38" s="23" t="s">
        <v>23</v>
      </c>
      <c r="C38" s="20">
        <v>0</v>
      </c>
      <c r="D38" s="61" t="e">
        <f ca="1">IF(kolonne&lt;&gt;"",INDIRECT("Statistik!"&amp;kolonne&amp;ROW()),"")*D$6*5/12*(1+C38)</f>
        <v>#N/A</v>
      </c>
      <c r="E38" s="21">
        <f>C38*1.5</f>
        <v>0</v>
      </c>
      <c r="F38" s="61" t="e">
        <f ca="1">IF(kolonne&lt;&gt;"",INDIRECT("Statistik!"&amp;kolonne&amp;ROW()),"")*F$6*7/12*(1+E38)</f>
        <v>#N/A</v>
      </c>
      <c r="G38" s="21">
        <f>E38</f>
        <v>0</v>
      </c>
      <c r="H38" s="61" t="e">
        <f ca="1">IF(kolonne&lt;&gt;"",INDIRECT("Statistik!"&amp;kolonne&amp;ROW()),"")*H$6*5/12*(1+G38)</f>
        <v>#N/A</v>
      </c>
      <c r="I38" s="69" t="e">
        <f t="shared" ca="1" si="0"/>
        <v>#N/A</v>
      </c>
    </row>
    <row r="39" spans="1:9" x14ac:dyDescent="0.15">
      <c r="A39" s="22">
        <v>32</v>
      </c>
      <c r="B39" s="23" t="s">
        <v>460</v>
      </c>
      <c r="C39" s="26"/>
      <c r="D39" s="64" t="e">
        <f ca="1">D36+D37-D38</f>
        <v>#N/A</v>
      </c>
      <c r="E39" s="27"/>
      <c r="F39" s="64" t="e">
        <f ca="1">F36+F37-F38</f>
        <v>#N/A</v>
      </c>
      <c r="G39" s="28"/>
      <c r="H39" s="64" t="e">
        <f ca="1">H36+H37-H38</f>
        <v>#N/A</v>
      </c>
      <c r="I39" s="71" t="e">
        <f t="shared" ca="1" si="0"/>
        <v>#N/A</v>
      </c>
    </row>
    <row r="40" spans="1:9" x14ac:dyDescent="0.15">
      <c r="A40" s="6">
        <v>52</v>
      </c>
      <c r="B40" s="7" t="s">
        <v>2</v>
      </c>
      <c r="C40" s="29"/>
      <c r="D40" s="65"/>
      <c r="E40" s="30"/>
      <c r="F40" s="65"/>
      <c r="G40" s="31"/>
      <c r="H40" s="65"/>
      <c r="I40" s="69">
        <f t="shared" si="0"/>
        <v>0</v>
      </c>
    </row>
    <row r="41" spans="1:9" x14ac:dyDescent="0.15">
      <c r="A41" s="14">
        <v>53</v>
      </c>
      <c r="B41" s="15" t="s">
        <v>1</v>
      </c>
      <c r="C41" s="29"/>
      <c r="D41" s="65"/>
      <c r="E41" s="30"/>
      <c r="F41" s="65"/>
      <c r="G41" s="31"/>
      <c r="H41" s="65"/>
      <c r="I41" s="69">
        <f t="shared" si="0"/>
        <v>0</v>
      </c>
    </row>
    <row r="42" spans="1:9" x14ac:dyDescent="0.15">
      <c r="A42" s="32">
        <v>54</v>
      </c>
      <c r="B42" s="33" t="s">
        <v>555</v>
      </c>
      <c r="C42" s="26"/>
      <c r="D42" s="64">
        <f>D40-D41</f>
        <v>0</v>
      </c>
      <c r="E42" s="27"/>
      <c r="F42" s="64">
        <f>F40-F41</f>
        <v>0</v>
      </c>
      <c r="G42" s="28"/>
      <c r="H42" s="64">
        <f>H40-H41</f>
        <v>0</v>
      </c>
      <c r="I42" s="71">
        <f t="shared" si="0"/>
        <v>0</v>
      </c>
    </row>
    <row r="43" spans="1:9" x14ac:dyDescent="0.15">
      <c r="A43" s="34">
        <v>55</v>
      </c>
      <c r="B43" s="35" t="s">
        <v>99</v>
      </c>
      <c r="C43" s="36"/>
      <c r="D43" s="66" t="e">
        <f ca="1">D39+D42</f>
        <v>#N/A</v>
      </c>
      <c r="E43" s="24"/>
      <c r="F43" s="66" t="e">
        <f ca="1">F39+F42</f>
        <v>#N/A</v>
      </c>
      <c r="G43" s="36"/>
      <c r="H43" s="66" t="e">
        <f ca="1">H39+H42</f>
        <v>#N/A</v>
      </c>
      <c r="I43" s="72" t="e">
        <f t="shared" ca="1" si="0"/>
        <v>#N/A</v>
      </c>
    </row>
    <row r="44" spans="1:9" x14ac:dyDescent="0.15">
      <c r="B44" s="542" t="str">
        <f>"*) I friskolernes regnskaber for "&amp;aarstal-2&amp;" er resultatet af børnehavedrift over 10.000 kr. pr. barn i børnehaven!"</f>
        <v>*) I friskolernes regnskaber for 2016 er resultatet af børnehavedrift over 10.000 kr. pr. barn i børnehaven!</v>
      </c>
      <c r="D44" s="67"/>
      <c r="F44" s="67"/>
      <c r="H44" s="67"/>
      <c r="I44" s="49"/>
    </row>
    <row r="45" spans="1:9" x14ac:dyDescent="0.15">
      <c r="B45" s="1" t="s">
        <v>100</v>
      </c>
      <c r="D45" s="68" t="e">
        <f ca="1">D30*4/5</f>
        <v>#N/A</v>
      </c>
      <c r="F45" s="68"/>
      <c r="H45" s="68"/>
      <c r="I45" s="49"/>
    </row>
    <row r="46" spans="1:9" x14ac:dyDescent="0.15">
      <c r="I46" s="49"/>
    </row>
  </sheetData>
  <sheetProtection sheet="1" objects="1" scenarios="1" formatCells="0" formatColumns="0" formatRows="0"/>
  <phoneticPr fontId="46" type="noConversion"/>
  <pageMargins left="0.75000000000000011" right="0.75000000000000011" top="1" bottom="1" header="0.5" footer="0.5"/>
  <legacy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2"/>
  <sheetViews>
    <sheetView zoomScale="125" zoomScaleNormal="150" zoomScalePageLayoutView="150" workbookViewId="0">
      <selection activeCell="F34" sqref="F34"/>
    </sheetView>
  </sheetViews>
  <sheetFormatPr baseColWidth="10" defaultColWidth="10.83203125" defaultRowHeight="13" x14ac:dyDescent="0.15"/>
  <cols>
    <col min="1" max="1" width="5.33203125" style="290" customWidth="1"/>
    <col min="2" max="2" width="45.1640625" style="91" customWidth="1"/>
    <col min="3" max="6" width="15" style="91" customWidth="1"/>
    <col min="7" max="7" width="10.6640625" style="92" customWidth="1"/>
    <col min="8" max="8" width="10.83203125" style="92"/>
    <col min="9" max="16384" width="10.83203125" style="91"/>
  </cols>
  <sheetData>
    <row r="1" spans="1:8" x14ac:dyDescent="0.15">
      <c r="A1" s="290" t="s">
        <v>376</v>
      </c>
    </row>
    <row r="2" spans="1:8" x14ac:dyDescent="0.15">
      <c r="A2" s="290" t="s">
        <v>374</v>
      </c>
    </row>
    <row r="3" spans="1:8" x14ac:dyDescent="0.15">
      <c r="G3" s="93">
        <f>aarstal</f>
        <v>2018</v>
      </c>
      <c r="H3" s="93" t="str">
        <f>F4</f>
        <v>Hele 2019</v>
      </c>
    </row>
    <row r="4" spans="1:8" x14ac:dyDescent="0.15">
      <c r="A4" s="291"/>
      <c r="B4" s="94"/>
      <c r="C4" s="95" t="str">
        <f>Raabudget!D4</f>
        <v>AUG - DEC 2018</v>
      </c>
      <c r="D4" s="96" t="str">
        <f>Raabudget!F4</f>
        <v>JAN - JULI 2019</v>
      </c>
      <c r="E4" s="97" t="str">
        <f>Raabudget!H4</f>
        <v>AUG - DEC 2019</v>
      </c>
      <c r="F4" s="98" t="str">
        <f>Raabudget!I4</f>
        <v>Hele 2019</v>
      </c>
      <c r="G4" s="568" t="s">
        <v>220</v>
      </c>
      <c r="H4" s="567" t="s">
        <v>220</v>
      </c>
    </row>
    <row r="5" spans="1:8" x14ac:dyDescent="0.15">
      <c r="A5" s="99" t="s">
        <v>43</v>
      </c>
      <c r="B5" s="100"/>
      <c r="C5" s="101"/>
      <c r="D5" s="102"/>
      <c r="E5" s="103"/>
      <c r="F5" s="104"/>
      <c r="G5" s="568"/>
      <c r="H5" s="567"/>
    </row>
    <row r="6" spans="1:8" x14ac:dyDescent="0.15">
      <c r="A6" s="292">
        <v>1</v>
      </c>
      <c r="B6" s="15" t="s">
        <v>40</v>
      </c>
      <c r="C6" s="105" t="e">
        <f ca="1">IF('1.Driftstilskud'!B8&gt;0,'1.Driftstilskud'!B8,Raabudget!D8)</f>
        <v>#N/A</v>
      </c>
      <c r="D6" s="106" t="e">
        <f ca="1">IF('1.Driftstilskud'!C28&lt;&gt;0,'1.Driftstilskud'!C28,Raabudget!F8)</f>
        <v>#N/A</v>
      </c>
      <c r="E6" s="107" t="e">
        <f ca="1">IF('1.Driftstilskud'!C46&lt;&gt;0,'1.Driftstilskud'!C46,Raabudget!H8)</f>
        <v>#N/A</v>
      </c>
      <c r="F6" s="105" t="e">
        <f ca="1">D6+E6</f>
        <v>#N/A</v>
      </c>
      <c r="G6" s="108" t="e">
        <f ca="1">C6-Raabudget!D8</f>
        <v>#N/A</v>
      </c>
      <c r="H6" s="108" t="e">
        <f ca="1">F6-Raabudget!I8</f>
        <v>#N/A</v>
      </c>
    </row>
    <row r="7" spans="1:8" x14ac:dyDescent="0.15">
      <c r="A7" s="292">
        <v>2</v>
      </c>
      <c r="B7" s="15" t="s">
        <v>39</v>
      </c>
      <c r="C7" s="105">
        <f>IF(('2.Oevrige Statstilskud'!B12+'2.Oevrige Statstilskud'!B28)&lt;&gt;0,'2.Oevrige Statstilskud'!B12+'2.Oevrige Statstilskud'!B28,Raabudget!D9)</f>
        <v>55869.583333333328</v>
      </c>
      <c r="D7" s="106">
        <f>IF(('2.Oevrige Statstilskud'!B13+'2.Oevrige Statstilskud'!B22+'2.Oevrige Statstilskud'!B29)&lt;&gt;0,('2.Oevrige Statstilskud'!B13+'2.Oevrige Statstilskud'!B22+'2.Oevrige Statstilskud'!B29),Raabudget!F9)</f>
        <v>78217.416666666657</v>
      </c>
      <c r="E7" s="107">
        <f>IF(('2.Oevrige Statstilskud'!B14+'2.Oevrige Statstilskud'!B23+'2.Oevrige Statstilskud'!B30)&lt;&gt;0,'2.Oevrige Statstilskud'!B14+'2.Oevrige Statstilskud'!B23+'2.Oevrige Statstilskud'!B30,Raabudget!H9)</f>
        <v>55869.583333333328</v>
      </c>
      <c r="F7" s="105">
        <f t="shared" ref="F7:F22" si="0">D7+E7</f>
        <v>134087</v>
      </c>
      <c r="G7" s="108" t="e">
        <f ca="1">C7-Raabudget!D9</f>
        <v>#N/A</v>
      </c>
      <c r="H7" s="108" t="e">
        <f ca="1">F7-Raabudget!I9</f>
        <v>#N/A</v>
      </c>
    </row>
    <row r="8" spans="1:8" x14ac:dyDescent="0.15">
      <c r="A8" s="292">
        <v>3</v>
      </c>
      <c r="B8" s="15" t="s">
        <v>461</v>
      </c>
      <c r="C8" s="105" t="e">
        <f ca="1">IF('3.Skolepenge'!G8&lt;&gt;0,'3.Skolepenge'!G8,Raabudget!D10)</f>
        <v>#N/A</v>
      </c>
      <c r="D8" s="106" t="e">
        <f ca="1">IF('3.Skolepenge'!G16&lt;&gt;0,'3.Skolepenge'!G16,Raabudget!F10)</f>
        <v>#N/A</v>
      </c>
      <c r="E8" s="107" t="e">
        <f ca="1">IF('3.Skolepenge'!G24&lt;&gt;0,'3.Skolepenge'!G24,Raabudget!H10)</f>
        <v>#N/A</v>
      </c>
      <c r="F8" s="105" t="e">
        <f t="shared" ca="1" si="0"/>
        <v>#N/A</v>
      </c>
      <c r="G8" s="108" t="e">
        <f ca="1">C8-Raabudget!D10</f>
        <v>#N/A</v>
      </c>
      <c r="H8" s="108" t="e">
        <f ca="1">F8-Raabudget!I10</f>
        <v>#N/A</v>
      </c>
    </row>
    <row r="9" spans="1:8" x14ac:dyDescent="0.15">
      <c r="A9" s="292">
        <v>4</v>
      </c>
      <c r="B9" s="15" t="s">
        <v>38</v>
      </c>
      <c r="C9" s="105" t="e">
        <f ca="1">IF('4.Foraeldrebetaling,SFO'!G8&lt;&gt;0,'4.Foraeldrebetaling,SFO'!G8,Raabudget!D11)*(Start!A18&lt;&gt;"x")</f>
        <v>#N/A</v>
      </c>
      <c r="D9" s="106" t="e">
        <f ca="1">IF('4.Foraeldrebetaling,SFO'!G15&lt;&gt;0,'4.Foraeldrebetaling,SFO'!G15,Raabudget!F11)*(Start!A21&lt;&gt;"x")</f>
        <v>#N/A</v>
      </c>
      <c r="E9" s="107" t="e">
        <f ca="1">IF('4.Foraeldrebetaling,SFO'!G22&lt;&gt;0,'4.Foraeldrebetaling,SFO'!G22,Raabudget!H11)*(Start!A21&lt;&gt;"x")</f>
        <v>#N/A</v>
      </c>
      <c r="F9" s="105" t="e">
        <f t="shared" ca="1" si="0"/>
        <v>#N/A</v>
      </c>
      <c r="G9" s="108" t="e">
        <f ca="1">C9-Raabudget!D11</f>
        <v>#N/A</v>
      </c>
      <c r="H9" s="108" t="e">
        <f ca="1">F9-Raabudget!I11</f>
        <v>#N/A</v>
      </c>
    </row>
    <row r="10" spans="1:8" x14ac:dyDescent="0.15">
      <c r="A10" s="292">
        <v>5</v>
      </c>
      <c r="B10" s="15" t="s">
        <v>448</v>
      </c>
      <c r="C10" s="105" t="e">
        <f ca="1">IF('5.Andre_Indt'!C18&lt;&gt;0,'5.Andre_Indt'!C18,Raabudget!D12)</f>
        <v>#N/A</v>
      </c>
      <c r="D10" s="106" t="e">
        <f ca="1">IF('5.Andre_Indt'!D18&lt;&gt;0,'5.Andre_Indt'!D18*7/12,Raabudget!F12)</f>
        <v>#N/A</v>
      </c>
      <c r="E10" s="107" t="e">
        <f ca="1">IF('5.Andre_Indt'!D18&lt;&gt;0,'5.Andre_Indt'!D18*5/12,Raabudget!H12)</f>
        <v>#N/A</v>
      </c>
      <c r="F10" s="105" t="e">
        <f t="shared" ca="1" si="0"/>
        <v>#N/A</v>
      </c>
      <c r="G10" s="108" t="e">
        <f ca="1">C10-Raabudget!D12</f>
        <v>#N/A</v>
      </c>
      <c r="H10" s="108" t="e">
        <f ca="1">F10-Raabudget!I12</f>
        <v>#N/A</v>
      </c>
    </row>
    <row r="11" spans="1:8" x14ac:dyDescent="0.15">
      <c r="A11" s="109">
        <v>6</v>
      </c>
      <c r="B11" s="23" t="s">
        <v>449</v>
      </c>
      <c r="C11" s="110" t="e">
        <f ca="1">SUM(C6:C10)</f>
        <v>#N/A</v>
      </c>
      <c r="D11" s="111" t="e">
        <f ca="1">SUM(D6:D10)</f>
        <v>#N/A</v>
      </c>
      <c r="E11" s="112" t="e">
        <f ca="1">SUM(E6:E10)</f>
        <v>#N/A</v>
      </c>
      <c r="F11" s="110" t="e">
        <f ca="1">SUM(F6:F10)</f>
        <v>#N/A</v>
      </c>
      <c r="G11" s="113" t="e">
        <f ca="1">C11-Raabudget!D13</f>
        <v>#N/A</v>
      </c>
      <c r="H11" s="113" t="e">
        <f ca="1">F11-Raabudget!I13</f>
        <v>#N/A</v>
      </c>
    </row>
    <row r="12" spans="1:8" x14ac:dyDescent="0.15">
      <c r="A12" s="293">
        <v>7</v>
      </c>
      <c r="B12" s="15" t="s">
        <v>450</v>
      </c>
      <c r="C12" s="114">
        <f>IF('7.Loen,Uv'!$H$15&lt;&gt;0,'7.Loen,Uv'!$H$15,Raabudget!D14)</f>
        <v>38696.674999999996</v>
      </c>
      <c r="D12" s="114">
        <f>IF('7.Loen,Uv'!$H$16&lt;&gt;0,'7.Loen,Uv'!$H$16,Raabudget!E14)</f>
        <v>47903.45</v>
      </c>
      <c r="E12" s="114">
        <f>IF('7.Loen,Uv'!$H$17&lt;&gt;0,'7.Loen,Uv'!$H$17,Raabudget!F14)</f>
        <v>40566.25</v>
      </c>
      <c r="F12" s="114">
        <f t="shared" si="0"/>
        <v>88469.7</v>
      </c>
      <c r="G12" s="115" t="e">
        <f ca="1">C12-Raabudget!D14</f>
        <v>#N/A</v>
      </c>
      <c r="H12" s="115" t="e">
        <f ca="1">F12-Raabudget!I14</f>
        <v>#N/A</v>
      </c>
    </row>
    <row r="13" spans="1:8" x14ac:dyDescent="0.15">
      <c r="A13" s="292">
        <v>8</v>
      </c>
      <c r="B13" s="15" t="s">
        <v>37</v>
      </c>
      <c r="C13" s="105" t="e">
        <f>IF('8.Loen,SFO'!F35&lt;&gt;0,'8.Loen,SFO'!F35,Raabudget!D15)*(Start!A18&lt;&gt;"x")</f>
        <v>#DIV/0!</v>
      </c>
      <c r="D13" s="106" t="e">
        <f>IF('8.Loen,SFO'!F36&lt;&gt;0,'8.Loen,SFO'!F36,Raabudget!F15)*(Start!A21&lt;&gt;"x")</f>
        <v>#DIV/0!</v>
      </c>
      <c r="E13" s="107" t="e">
        <f>IF('8.Loen,SFO'!F37&lt;&gt;0,'8.Loen,SFO'!F37,Raabudget!H15)*(Start!A21&lt;&gt;"x")</f>
        <v>#DIV/0!</v>
      </c>
      <c r="F13" s="105" t="e">
        <f t="shared" si="0"/>
        <v>#DIV/0!</v>
      </c>
      <c r="G13" s="108" t="e">
        <f ca="1">C13-Raabudget!D15</f>
        <v>#DIV/0!</v>
      </c>
      <c r="H13" s="108" t="e">
        <f ca="1">F13-Raabudget!I15</f>
        <v>#DIV/0!</v>
      </c>
    </row>
    <row r="14" spans="1:8" x14ac:dyDescent="0.15">
      <c r="A14" s="292">
        <v>9</v>
      </c>
      <c r="B14" s="15" t="s">
        <v>36</v>
      </c>
      <c r="C14" s="105" t="e">
        <f ca="1">IF('9.Uv.'!C19&lt;&gt;0,'9.Uv.'!C19,Raabudget!D16)</f>
        <v>#N/A</v>
      </c>
      <c r="D14" s="106" t="e">
        <f ca="1">IF('9.Uv.'!D19&lt;&gt;0,'9.Uv.'!D19*7/12,Raabudget!F16)</f>
        <v>#N/A</v>
      </c>
      <c r="E14" s="107" t="e">
        <f ca="1">IF('9.Uv.'!D19&lt;&gt;0,'9.Uv.'!D19*5/12,Raabudget!H16)</f>
        <v>#N/A</v>
      </c>
      <c r="F14" s="105" t="e">
        <f t="shared" ca="1" si="0"/>
        <v>#N/A</v>
      </c>
      <c r="G14" s="108" t="e">
        <f ca="1">C14-Raabudget!D16</f>
        <v>#N/A</v>
      </c>
      <c r="H14" s="108" t="e">
        <f ca="1">F14-Raabudget!I16</f>
        <v>#N/A</v>
      </c>
    </row>
    <row r="15" spans="1:8" x14ac:dyDescent="0.15">
      <c r="A15" s="292">
        <v>10</v>
      </c>
      <c r="B15" s="15" t="s">
        <v>451</v>
      </c>
      <c r="C15" s="105" t="e">
        <f ca="1">IF('10.SFOudg.'!C19&lt;&gt;0,'10.SFOudg.'!C19,Raabudget!D17)*(Start!A18&lt;&gt;"x")</f>
        <v>#N/A</v>
      </c>
      <c r="D15" s="106" t="e">
        <f ca="1">IF('10.SFOudg.'!D19&lt;&gt;0,'10.SFOudg.'!D19*7/12,Raabudget!F17)*(Start!A21&lt;&gt;"x")</f>
        <v>#N/A</v>
      </c>
      <c r="E15" s="107" t="e">
        <f ca="1">IF('10.SFOudg.'!D19&lt;&gt;0,'10.SFOudg.'!D19*5/12,Raabudget!H17)*(Start!A21&lt;&gt;"x")</f>
        <v>#N/A</v>
      </c>
      <c r="F15" s="105" t="e">
        <f t="shared" ca="1" si="0"/>
        <v>#N/A</v>
      </c>
      <c r="G15" s="108" t="e">
        <f ca="1">C15-Raabudget!D17</f>
        <v>#N/A</v>
      </c>
      <c r="H15" s="108" t="e">
        <f ca="1">F15-Raabudget!I17</f>
        <v>#N/A</v>
      </c>
    </row>
    <row r="16" spans="1:8" x14ac:dyDescent="0.15">
      <c r="A16" s="109">
        <v>11</v>
      </c>
      <c r="B16" s="23" t="s">
        <v>452</v>
      </c>
      <c r="C16" s="110" t="e">
        <f>SUM(C12:C15)</f>
        <v>#DIV/0!</v>
      </c>
      <c r="D16" s="111" t="e">
        <f>SUM(D12:D15)</f>
        <v>#DIV/0!</v>
      </c>
      <c r="E16" s="112" t="e">
        <f>SUM(E12:E15)</f>
        <v>#DIV/0!</v>
      </c>
      <c r="F16" s="110" t="e">
        <f>SUM(F12:F15)</f>
        <v>#DIV/0!</v>
      </c>
      <c r="G16" s="113" t="e">
        <f ca="1">C16-Raabudget!D18</f>
        <v>#DIV/0!</v>
      </c>
      <c r="H16" s="113" t="e">
        <f ca="1">F16-Raabudget!I18</f>
        <v>#DIV/0!</v>
      </c>
    </row>
    <row r="17" spans="1:8" x14ac:dyDescent="0.15">
      <c r="A17" s="293">
        <v>12</v>
      </c>
      <c r="B17" s="15" t="s">
        <v>322</v>
      </c>
      <c r="C17" s="114" t="e">
        <f ca="1">IF('12.Ejd.loen'!B8&lt;&gt;0,'12.Ejd.loen'!B8,Raabudget!D19)*(Start!A19&lt;&gt;"x")</f>
        <v>#N/A</v>
      </c>
      <c r="D17" s="116" t="e">
        <f ca="1">IF('12.Ejd.loen'!C8&lt;&gt;0,'12.Ejd.loen'!C8,Raabudget!F19)*(Start!A22&lt;&gt;"x")</f>
        <v>#N/A</v>
      </c>
      <c r="E17" s="117" t="e">
        <f ca="1">IF('12.Ejd.loen'!D8&lt;&gt;0,'12.Ejd.loen'!D8,Raabudget!H19)*(Start!A22&lt;&gt;"x")</f>
        <v>#N/A</v>
      </c>
      <c r="F17" s="114" t="e">
        <f t="shared" ca="1" si="0"/>
        <v>#N/A</v>
      </c>
      <c r="G17" s="115" t="e">
        <f ca="1">C17-Raabudget!D19</f>
        <v>#N/A</v>
      </c>
      <c r="H17" s="115" t="e">
        <f ca="1">F17-Raabudget!I19</f>
        <v>#N/A</v>
      </c>
    </row>
    <row r="18" spans="1:8" x14ac:dyDescent="0.15">
      <c r="A18" s="292">
        <v>13</v>
      </c>
      <c r="B18" s="15" t="s">
        <v>453</v>
      </c>
      <c r="C18" s="105" t="e">
        <f ca="1">IF('13.Lokaleleje'!B6&lt;&gt;0,'13.Lokaleleje'!B6,Raabudget!D20)</f>
        <v>#N/A</v>
      </c>
      <c r="D18" s="106" t="e">
        <f ca="1">IF('13.Lokaleleje'!C6&lt;&gt;0,'13.Lokaleleje'!C6,Raabudget!F20)</f>
        <v>#N/A</v>
      </c>
      <c r="E18" s="107" t="e">
        <f ca="1">IF('13.Lokaleleje'!D6&lt;&gt;0,'13.Lokaleleje'!D6,Raabudget!H20)</f>
        <v>#N/A</v>
      </c>
      <c r="F18" s="105" t="e">
        <f t="shared" ca="1" si="0"/>
        <v>#N/A</v>
      </c>
      <c r="G18" s="108" t="e">
        <f ca="1">C18-Raabudget!D20</f>
        <v>#N/A</v>
      </c>
      <c r="H18" s="108" t="e">
        <f ca="1">F18-Raabudget!I20</f>
        <v>#N/A</v>
      </c>
    </row>
    <row r="19" spans="1:8" x14ac:dyDescent="0.15">
      <c r="A19" s="292">
        <v>14</v>
      </c>
      <c r="B19" s="15" t="s">
        <v>34</v>
      </c>
      <c r="C19" s="105" t="e">
        <f ca="1">IF('14.Ejendom'!C7&lt;&gt;0,'14.Ejendom'!C7,Raabudget!D21)</f>
        <v>#N/A</v>
      </c>
      <c r="D19" s="106" t="e">
        <f ca="1">IF('14.Ejendom'!D7&lt;&gt;0,'14.Ejendom'!D7*7/12,Raabudget!F21)</f>
        <v>#N/A</v>
      </c>
      <c r="E19" s="107" t="e">
        <f ca="1">IF('14.Ejendom'!D7&lt;&gt;0,'14.Ejendom'!D7*5/12,Raabudget!H21)</f>
        <v>#N/A</v>
      </c>
      <c r="F19" s="105" t="e">
        <f t="shared" ca="1" si="0"/>
        <v>#N/A</v>
      </c>
      <c r="G19" s="108" t="e">
        <f ca="1">C19-Raabudget!D21</f>
        <v>#N/A</v>
      </c>
      <c r="H19" s="108" t="e">
        <f ca="1">F19-Raabudget!I21</f>
        <v>#N/A</v>
      </c>
    </row>
    <row r="20" spans="1:8" x14ac:dyDescent="0.15">
      <c r="A20" s="292">
        <v>15</v>
      </c>
      <c r="B20" s="15" t="s">
        <v>33</v>
      </c>
      <c r="C20" s="105" t="e">
        <f ca="1">IF('14.Ejendom'!C12&lt;&gt;0,'14.Ejendom'!C12,Raabudget!D22)</f>
        <v>#N/A</v>
      </c>
      <c r="D20" s="106" t="e">
        <f ca="1">IF('14.Ejendom'!D12&lt;&gt;0,'14.Ejendom'!D12*7/12,Raabudget!F22)</f>
        <v>#N/A</v>
      </c>
      <c r="E20" s="107" t="e">
        <f ca="1">IF('14.Ejendom'!D12&lt;&gt;0,'14.Ejendom'!D12*5/12,Raabudget!H22)</f>
        <v>#N/A</v>
      </c>
      <c r="F20" s="105" t="e">
        <f t="shared" ca="1" si="0"/>
        <v>#N/A</v>
      </c>
      <c r="G20" s="108" t="e">
        <f ca="1">C20-Raabudget!D22</f>
        <v>#N/A</v>
      </c>
      <c r="H20" s="108" t="e">
        <f ca="1">F20-Raabudget!I22</f>
        <v>#N/A</v>
      </c>
    </row>
    <row r="21" spans="1:8" x14ac:dyDescent="0.15">
      <c r="A21" s="292">
        <v>16</v>
      </c>
      <c r="B21" s="15" t="s">
        <v>32</v>
      </c>
      <c r="C21" s="105" t="e">
        <f ca="1">IF('14.Ejendom'!C22&lt;&gt;0,'14.Ejendom'!C22,Raabudget!D23)</f>
        <v>#N/A</v>
      </c>
      <c r="D21" s="106" t="e">
        <f ca="1">IF('14.Ejendom'!D22&lt;&gt;0,'14.Ejendom'!D22*7/12,Raabudget!F23)</f>
        <v>#N/A</v>
      </c>
      <c r="E21" s="107" t="e">
        <f ca="1">IF('14.Ejendom'!D22&lt;&gt;0,'14.Ejendom'!D22*5/12,Raabudget!H23)</f>
        <v>#N/A</v>
      </c>
      <c r="F21" s="105" t="e">
        <f t="shared" ca="1" si="0"/>
        <v>#N/A</v>
      </c>
      <c r="G21" s="108" t="e">
        <f ca="1">C21-Raabudget!D23</f>
        <v>#N/A</v>
      </c>
      <c r="H21" s="108" t="e">
        <f ca="1">F21-Raabudget!I23</f>
        <v>#N/A</v>
      </c>
    </row>
    <row r="22" spans="1:8" x14ac:dyDescent="0.15">
      <c r="A22" s="292">
        <v>17</v>
      </c>
      <c r="B22" s="15" t="s">
        <v>454</v>
      </c>
      <c r="C22" s="105" t="e">
        <f ca="1">IF('14.Ejendom'!C30&lt;&gt;0,'14.Ejendom'!C30,Raabudget!D24)</f>
        <v>#N/A</v>
      </c>
      <c r="D22" s="106" t="e">
        <f ca="1">IF('14.Ejendom'!D30&lt;&gt;0,'14.Ejendom'!D30*7/12,Raabudget!F24)</f>
        <v>#N/A</v>
      </c>
      <c r="E22" s="107" t="e">
        <f ca="1">IF('14.Ejendom'!D30&lt;&gt;0,'14.Ejendom'!D30*5/12,Raabudget!H24)</f>
        <v>#N/A</v>
      </c>
      <c r="F22" s="105" t="e">
        <f t="shared" ca="1" si="0"/>
        <v>#N/A</v>
      </c>
      <c r="G22" s="108" t="e">
        <f ca="1">C22-Raabudget!D24</f>
        <v>#N/A</v>
      </c>
      <c r="H22" s="108" t="e">
        <f ca="1">F22-Raabudget!I24</f>
        <v>#N/A</v>
      </c>
    </row>
    <row r="23" spans="1:8" x14ac:dyDescent="0.15">
      <c r="A23" s="109">
        <v>18</v>
      </c>
      <c r="B23" s="23" t="s">
        <v>455</v>
      </c>
      <c r="C23" s="110" t="e">
        <f ca="1">SUM(C17:C22)</f>
        <v>#N/A</v>
      </c>
      <c r="D23" s="111" t="e">
        <f ca="1">SUM(D17:D22)</f>
        <v>#N/A</v>
      </c>
      <c r="E23" s="112" t="e">
        <f ca="1">SUM(E17:E22)</f>
        <v>#N/A</v>
      </c>
      <c r="F23" s="110" t="e">
        <f ca="1">SUM(F17:F22)</f>
        <v>#N/A</v>
      </c>
      <c r="G23" s="113" t="e">
        <f ca="1">C23-Raabudget!D25</f>
        <v>#N/A</v>
      </c>
      <c r="H23" s="113" t="e">
        <f ca="1">F23-Raabudget!I25</f>
        <v>#N/A</v>
      </c>
    </row>
    <row r="24" spans="1:8" x14ac:dyDescent="0.15">
      <c r="A24" s="118">
        <v>19</v>
      </c>
      <c r="B24" s="23" t="s">
        <v>31</v>
      </c>
      <c r="C24" s="88" t="e">
        <f ca="1">Raabudget!D26</f>
        <v>#N/A</v>
      </c>
      <c r="D24" s="89" t="e">
        <f ca="1">Raabudget!F26</f>
        <v>#N/A</v>
      </c>
      <c r="E24" s="90" t="e">
        <f ca="1">Raabudget!H26</f>
        <v>#N/A</v>
      </c>
      <c r="F24" s="119" t="e">
        <f ca="1">Raabudget!I26</f>
        <v>#N/A</v>
      </c>
      <c r="G24" s="120" t="e">
        <f ca="1">C24-Raabudget!D26</f>
        <v>#N/A</v>
      </c>
      <c r="H24" s="120" t="e">
        <f ca="1">F24-Raabudget!I26</f>
        <v>#N/A</v>
      </c>
    </row>
    <row r="25" spans="1:8" x14ac:dyDescent="0.15">
      <c r="A25" s="293">
        <v>20</v>
      </c>
      <c r="B25" s="15" t="s">
        <v>30</v>
      </c>
      <c r="C25" s="114" t="e">
        <f ca="1">IF('20.Adm.loen'!B8&lt;&gt;0,'20.Adm.loen'!B8,Raabudget!D27)*(Start!A20&lt;&gt;"x")</f>
        <v>#N/A</v>
      </c>
      <c r="D25" s="116" t="e">
        <f ca="1">IF('20.Adm.loen'!C8&lt;&gt;0,'20.Adm.loen'!C8,Raabudget!F27)*(Start!A23&lt;&gt;"x")</f>
        <v>#N/A</v>
      </c>
      <c r="E25" s="117" t="e">
        <f ca="1">IF('20.Adm.loen'!D8&lt;&gt;0,'20.Adm.loen'!D8,Raabudget!H27)*(Start!A23&lt;&gt;"x")</f>
        <v>#N/A</v>
      </c>
      <c r="F25" s="114" t="e">
        <f ca="1">D25+E25</f>
        <v>#N/A</v>
      </c>
      <c r="G25" s="115" t="e">
        <f ca="1">C25-Raabudget!D27</f>
        <v>#N/A</v>
      </c>
      <c r="H25" s="115" t="e">
        <f ca="1">F25-Raabudget!I27</f>
        <v>#N/A</v>
      </c>
    </row>
    <row r="26" spans="1:8" x14ac:dyDescent="0.15">
      <c r="A26" s="292">
        <v>21</v>
      </c>
      <c r="B26" s="15" t="s">
        <v>456</v>
      </c>
      <c r="C26" s="105" t="e">
        <f ca="1">IF('21.Adm'!C21&lt;&gt;0,'21.Adm'!C21,Raabudget!D28)</f>
        <v>#N/A</v>
      </c>
      <c r="D26" s="106" t="e">
        <f ca="1">IF('21.Adm'!D21&lt;&gt;0,'21.Adm'!D21*7/12,Raabudget!F28)</f>
        <v>#N/A</v>
      </c>
      <c r="E26" s="107" t="e">
        <f ca="1">IF('21.Adm'!D21&lt;&gt;0,'21.Adm'!D21*5/12,Raabudget!H28)</f>
        <v>#N/A</v>
      </c>
      <c r="F26" s="105" t="e">
        <f ca="1">D26+E26</f>
        <v>#N/A</v>
      </c>
      <c r="G26" s="108" t="e">
        <f ca="1">C26-Raabudget!D28</f>
        <v>#N/A</v>
      </c>
      <c r="H26" s="108" t="e">
        <f ca="1">F26-Raabudget!I28</f>
        <v>#N/A</v>
      </c>
    </row>
    <row r="27" spans="1:8" x14ac:dyDescent="0.15">
      <c r="A27" s="118">
        <v>22</v>
      </c>
      <c r="B27" s="23" t="s">
        <v>457</v>
      </c>
      <c r="C27" s="121" t="e">
        <f ca="1">C25+C26</f>
        <v>#N/A</v>
      </c>
      <c r="D27" s="122" t="e">
        <f ca="1">D25+D26</f>
        <v>#N/A</v>
      </c>
      <c r="E27" s="123" t="e">
        <f ca="1">E25+E26</f>
        <v>#N/A</v>
      </c>
      <c r="F27" s="121" t="e">
        <f ca="1">F25+F26</f>
        <v>#N/A</v>
      </c>
      <c r="G27" s="124" t="e">
        <f ca="1">C27-Raabudget!D29</f>
        <v>#N/A</v>
      </c>
      <c r="H27" s="124" t="e">
        <f ca="1">F27-Raabudget!I29</f>
        <v>#N/A</v>
      </c>
    </row>
    <row r="28" spans="1:8" x14ac:dyDescent="0.15">
      <c r="A28" s="118">
        <v>23</v>
      </c>
      <c r="B28" s="23" t="s">
        <v>458</v>
      </c>
      <c r="C28" s="121" t="e">
        <f ca="1">C16+C23+C27+C24</f>
        <v>#DIV/0!</v>
      </c>
      <c r="D28" s="122" t="e">
        <f ca="1">D16+D23+D27+D24</f>
        <v>#DIV/0!</v>
      </c>
      <c r="E28" s="123" t="e">
        <f ca="1">E16+E23+E27+E24</f>
        <v>#DIV/0!</v>
      </c>
      <c r="F28" s="121" t="e">
        <f ca="1">F16+F23+F27+F24</f>
        <v>#DIV/0!</v>
      </c>
      <c r="G28" s="124" t="e">
        <f ca="1">C28-Raabudget!D30</f>
        <v>#DIV/0!</v>
      </c>
      <c r="H28" s="124" t="e">
        <f ca="1">F28-Raabudget!I30</f>
        <v>#DIV/0!</v>
      </c>
    </row>
    <row r="29" spans="1:8" x14ac:dyDescent="0.15">
      <c r="A29" s="118">
        <v>24</v>
      </c>
      <c r="B29" s="23" t="s">
        <v>459</v>
      </c>
      <c r="C29" s="121" t="e">
        <f ca="1">C11-C28</f>
        <v>#N/A</v>
      </c>
      <c r="D29" s="122" t="e">
        <f ca="1">D11-D28</f>
        <v>#N/A</v>
      </c>
      <c r="E29" s="123" t="e">
        <f ca="1">E11-E28</f>
        <v>#N/A</v>
      </c>
      <c r="F29" s="121" t="e">
        <f ca="1">F11-F28</f>
        <v>#N/A</v>
      </c>
      <c r="G29" s="124" t="e">
        <f ca="1">C29-Raabudget!D31</f>
        <v>#N/A</v>
      </c>
      <c r="H29" s="124" t="e">
        <f ca="1">F29-Raabudget!I31</f>
        <v>#N/A</v>
      </c>
    </row>
    <row r="30" spans="1:8" x14ac:dyDescent="0.15">
      <c r="A30" s="125">
        <v>25</v>
      </c>
      <c r="B30" s="15" t="s">
        <v>29</v>
      </c>
      <c r="C30" s="82" t="e">
        <f ca="1">Raabudget!D32</f>
        <v>#N/A</v>
      </c>
      <c r="D30" s="83" t="e">
        <f ca="1">Raabudget!F32</f>
        <v>#N/A</v>
      </c>
      <c r="E30" s="84" t="e">
        <f ca="1">Raabudget!H32</f>
        <v>#N/A</v>
      </c>
      <c r="F30" s="114" t="e">
        <f ca="1">D30+E30</f>
        <v>#N/A</v>
      </c>
      <c r="G30" s="115" t="e">
        <f ca="1">C30-Raabudget!D32</f>
        <v>#N/A</v>
      </c>
      <c r="H30" s="115" t="e">
        <f ca="1">F30-Raabudget!I32</f>
        <v>#N/A</v>
      </c>
    </row>
    <row r="31" spans="1:8" x14ac:dyDescent="0.15">
      <c r="A31" s="126">
        <v>26</v>
      </c>
      <c r="B31" s="15" t="s">
        <v>562</v>
      </c>
      <c r="C31" s="85" t="e">
        <f ca="1">Raabudget!D33</f>
        <v>#N/A</v>
      </c>
      <c r="D31" s="86" t="e">
        <f ca="1">Raabudget!F33</f>
        <v>#N/A</v>
      </c>
      <c r="E31" s="87" t="e">
        <f ca="1">Raabudget!H33</f>
        <v>#N/A</v>
      </c>
      <c r="F31" s="105" t="e">
        <f ca="1">D31+E31</f>
        <v>#N/A</v>
      </c>
      <c r="G31" s="108" t="e">
        <f ca="1">C31-Raabudget!D33</f>
        <v>#N/A</v>
      </c>
      <c r="H31" s="108" t="e">
        <f ca="1">F31-Raabudget!I33</f>
        <v>#N/A</v>
      </c>
    </row>
    <row r="32" spans="1:8" x14ac:dyDescent="0.15">
      <c r="A32" s="126">
        <v>27</v>
      </c>
      <c r="B32" s="15" t="s">
        <v>563</v>
      </c>
      <c r="C32" s="85" t="e">
        <f ca="1">Raabudget!D34</f>
        <v>#N/A</v>
      </c>
      <c r="D32" s="86" t="e">
        <f ca="1">Raabudget!F34</f>
        <v>#N/A</v>
      </c>
      <c r="E32" s="87" t="e">
        <f ca="1">Raabudget!H34</f>
        <v>#N/A</v>
      </c>
      <c r="F32" s="105" t="e">
        <f ca="1">D32+E32</f>
        <v>#N/A</v>
      </c>
      <c r="G32" s="108" t="e">
        <f ca="1">C32-Raabudget!D34</f>
        <v>#N/A</v>
      </c>
      <c r="H32" s="108" t="e">
        <f ca="1">F32-Raabudget!I34</f>
        <v>#N/A</v>
      </c>
    </row>
    <row r="33" spans="1:8" x14ac:dyDescent="0.15">
      <c r="A33" s="109">
        <v>28</v>
      </c>
      <c r="B33" s="23" t="s">
        <v>26</v>
      </c>
      <c r="C33" s="110" t="e">
        <f ca="1">C31+C32+C30</f>
        <v>#N/A</v>
      </c>
      <c r="D33" s="110" t="e">
        <f ca="1">D31+D32+D30</f>
        <v>#N/A</v>
      </c>
      <c r="E33" s="110" t="e">
        <f ca="1">E31+E32+E30</f>
        <v>#N/A</v>
      </c>
      <c r="F33" s="110" t="e">
        <f ca="1">SUM(F30:F32)</f>
        <v>#N/A</v>
      </c>
      <c r="G33" s="113" t="e">
        <f ca="1">C33-Raabudget!D35</f>
        <v>#N/A</v>
      </c>
      <c r="H33" s="113" t="e">
        <f ca="1">F33-Raabudget!I35</f>
        <v>#N/A</v>
      </c>
    </row>
    <row r="34" spans="1:8" x14ac:dyDescent="0.15">
      <c r="A34" s="118">
        <v>29</v>
      </c>
      <c r="B34" s="23" t="s">
        <v>25</v>
      </c>
      <c r="C34" s="121" t="e">
        <f ca="1">C29+C33</f>
        <v>#N/A</v>
      </c>
      <c r="D34" s="122" t="e">
        <f ca="1">D29+D33</f>
        <v>#N/A</v>
      </c>
      <c r="E34" s="123" t="e">
        <f ca="1">E29+E33</f>
        <v>#N/A</v>
      </c>
      <c r="F34" s="121" t="e">
        <f ca="1">F29+F33</f>
        <v>#N/A</v>
      </c>
      <c r="G34" s="124" t="e">
        <f ca="1">C34-Raabudget!D36</f>
        <v>#N/A</v>
      </c>
      <c r="H34" s="124" t="e">
        <f ca="1">F34-Raabudget!I36</f>
        <v>#N/A</v>
      </c>
    </row>
    <row r="35" spans="1:8" x14ac:dyDescent="0.15">
      <c r="A35" s="125">
        <v>30</v>
      </c>
      <c r="B35" s="15" t="s">
        <v>24</v>
      </c>
      <c r="C35" s="82" t="e">
        <f ca="1">Raabudget!D37</f>
        <v>#N/A</v>
      </c>
      <c r="D35" s="83" t="e">
        <f ca="1">Raabudget!F37</f>
        <v>#N/A</v>
      </c>
      <c r="E35" s="84" t="e">
        <f ca="1">Raabudget!H37</f>
        <v>#N/A</v>
      </c>
      <c r="F35" s="114" t="e">
        <f ca="1">D35+E35</f>
        <v>#N/A</v>
      </c>
      <c r="G35" s="115" t="e">
        <f ca="1">C35-Raabudget!D37</f>
        <v>#N/A</v>
      </c>
      <c r="H35" s="115" t="e">
        <f ca="1">F35-Raabudget!I37</f>
        <v>#N/A</v>
      </c>
    </row>
    <row r="36" spans="1:8" x14ac:dyDescent="0.15">
      <c r="A36" s="118">
        <v>31</v>
      </c>
      <c r="B36" s="23" t="s">
        <v>23</v>
      </c>
      <c r="C36" s="78" t="e">
        <f ca="1">Raabudget!D38</f>
        <v>#N/A</v>
      </c>
      <c r="D36" s="79" t="e">
        <f ca="1">Raabudget!F38</f>
        <v>#N/A</v>
      </c>
      <c r="E36" s="80" t="e">
        <f ca="1">Raabudget!H38</f>
        <v>#N/A</v>
      </c>
      <c r="F36" s="127" t="e">
        <f ca="1">D36+E36</f>
        <v>#N/A</v>
      </c>
      <c r="G36" s="128" t="e">
        <f ca="1">C36-Raabudget!D38</f>
        <v>#N/A</v>
      </c>
      <c r="H36" s="128" t="e">
        <f ca="1">F36-Raabudget!I38</f>
        <v>#N/A</v>
      </c>
    </row>
    <row r="37" spans="1:8" x14ac:dyDescent="0.15">
      <c r="A37" s="118">
        <v>32</v>
      </c>
      <c r="B37" s="23" t="s">
        <v>460</v>
      </c>
      <c r="C37" s="110" t="e">
        <f ca="1">C34+C35-C36</f>
        <v>#N/A</v>
      </c>
      <c r="D37" s="111" t="e">
        <f ca="1">D34+D35-D36</f>
        <v>#N/A</v>
      </c>
      <c r="E37" s="112" t="e">
        <f ca="1">E34+E35-E36</f>
        <v>#N/A</v>
      </c>
      <c r="F37" s="110" t="e">
        <f ca="1">F34+F35-F36</f>
        <v>#N/A</v>
      </c>
      <c r="G37" s="113" t="e">
        <f ca="1">C37-Raabudget!D39</f>
        <v>#N/A</v>
      </c>
      <c r="H37" s="113" t="e">
        <f ca="1">F37-Raabudget!I39</f>
        <v>#N/A</v>
      </c>
    </row>
    <row r="38" spans="1:8" x14ac:dyDescent="0.15">
      <c r="A38" s="125">
        <v>52</v>
      </c>
      <c r="B38" s="15" t="s">
        <v>2</v>
      </c>
      <c r="C38" s="82">
        <f>IF('22.Dagtilbud'!D14&lt;&gt;0,'22.Dagtilbud'!D14+'22.Dagtilbud'!D29,Raabudget!D40)</f>
        <v>0</v>
      </c>
      <c r="D38" s="83">
        <f>IF('22.Dagtilbud'!E14&lt;&gt;0,'22.Dagtilbud'!E14*7/12+'22.Dagtilbud'!E29*7/12,Raabudget!F40)</f>
        <v>0</v>
      </c>
      <c r="E38" s="84">
        <f>IF('22.Dagtilbud'!E14&lt;&gt;0,'22.Dagtilbud'!E14*5/12+'22.Dagtilbud'!E29/12*5,Raabudget!H40)</f>
        <v>0</v>
      </c>
      <c r="F38" s="114">
        <f>D38+E38</f>
        <v>0</v>
      </c>
      <c r="G38" s="115">
        <f>C38-Raabudget!D40</f>
        <v>0</v>
      </c>
      <c r="H38" s="115">
        <f>F38-Raabudget!I40</f>
        <v>0</v>
      </c>
    </row>
    <row r="39" spans="1:8" x14ac:dyDescent="0.15">
      <c r="A39" s="99">
        <v>53</v>
      </c>
      <c r="B39" s="15" t="s">
        <v>1</v>
      </c>
      <c r="C39" s="78">
        <f>IF('22.Dagtilbud'!D101&lt;&gt;0,'22.Dagtilbud'!D101,Raabudget!D41)</f>
        <v>0</v>
      </c>
      <c r="D39" s="79">
        <f>IF('22.Dagtilbud'!E101&lt;&gt;0,'22.Dagtilbud'!E101*7/12,Raabudget!F41)</f>
        <v>0</v>
      </c>
      <c r="E39" s="80">
        <f>IF('22.Dagtilbud'!E101&lt;&gt;0,'22.Dagtilbud'!E101*5/12,Raabudget!H41)</f>
        <v>0</v>
      </c>
      <c r="F39" s="127">
        <f>D39+E39</f>
        <v>0</v>
      </c>
      <c r="G39" s="128">
        <f>C39-Raabudget!D41</f>
        <v>0</v>
      </c>
      <c r="H39" s="128">
        <f>F39-Raabudget!I41</f>
        <v>0</v>
      </c>
    </row>
    <row r="40" spans="1:8" x14ac:dyDescent="0.15">
      <c r="A40" s="109">
        <v>54</v>
      </c>
      <c r="B40" s="33" t="s">
        <v>0</v>
      </c>
      <c r="C40" s="110">
        <f>Raabudget!D42</f>
        <v>0</v>
      </c>
      <c r="D40" s="111">
        <f>Raabudget!F42</f>
        <v>0</v>
      </c>
      <c r="E40" s="112">
        <f>Raabudget!H42</f>
        <v>0</v>
      </c>
      <c r="F40" s="110">
        <f>Raabudget!I42</f>
        <v>0</v>
      </c>
      <c r="G40" s="113">
        <f>C40-Raabudget!D42</f>
        <v>0</v>
      </c>
      <c r="H40" s="113">
        <f>F40-Raabudget!I42</f>
        <v>0</v>
      </c>
    </row>
    <row r="41" spans="1:8" x14ac:dyDescent="0.15">
      <c r="A41" s="129">
        <v>55</v>
      </c>
      <c r="B41" s="289" t="s">
        <v>99</v>
      </c>
      <c r="C41" s="121" t="e">
        <f ca="1">C37+C40</f>
        <v>#N/A</v>
      </c>
      <c r="D41" s="122" t="e">
        <f ca="1">D37+D40</f>
        <v>#N/A</v>
      </c>
      <c r="E41" s="123" t="e">
        <f ca="1">E37+E40</f>
        <v>#N/A</v>
      </c>
      <c r="F41" s="121" t="e">
        <f ca="1">F37+F40</f>
        <v>#N/A</v>
      </c>
      <c r="G41" s="124" t="e">
        <f ca="1">C41-Raabudget!D43</f>
        <v>#N/A</v>
      </c>
      <c r="H41" s="124" t="e">
        <f ca="1">F41-Raabudget!I43</f>
        <v>#N/A</v>
      </c>
    </row>
    <row r="42" spans="1:8" x14ac:dyDescent="0.15">
      <c r="B42" s="130" t="s">
        <v>375</v>
      </c>
    </row>
  </sheetData>
  <sheetProtection formatCells="0" formatColumns="0" formatRows="0"/>
  <mergeCells count="2">
    <mergeCell ref="H4:H5"/>
    <mergeCell ref="G4:G5"/>
  </mergeCells>
  <hyperlinks>
    <hyperlink ref="A6" location="'1.Driftstilskud'!A1" display="'1.Driftstilskud'!A1"/>
    <hyperlink ref="A7" location="'2.Øvrige Statstilskud'!A1" display="'2.Øvrige Statstilskud'!A1"/>
    <hyperlink ref="A8" location="'3.Skolepenge'!A1" display="'3.Skolepenge'!A1"/>
    <hyperlink ref="A9" location="'4.Forældrebetaling,SFO'!A1" display="'4.Forældrebetaling,SFO'!A1"/>
    <hyperlink ref="A10" location="'5.Andre_Indt'!A1" display="'5.Andre_Indt'!A1"/>
    <hyperlink ref="A12" location="'7.Løn,Uv'!A1" display="'7.Løn,Uv'!A1"/>
    <hyperlink ref="A13" location="'8.Løn,SFO'!A1" display="'8.Løn,SFO'!A1"/>
    <hyperlink ref="A14" location="'9.Uv.'!A1" display="'9.Uv.'!A1"/>
    <hyperlink ref="A15" location="'10.SFOudg.'!A1" display="'10.SFOudg.'!A1"/>
    <hyperlink ref="A17" location="'12.Ejd.løn'!A1" display="'12.Ejd.løn'!A1"/>
    <hyperlink ref="A18" location="'13.Lokaleleje'!A1" display="'13.Lokaleleje'!A1"/>
    <hyperlink ref="A19" location="'14.Ejendom'!A1" display="'14.Ejendom'!A1"/>
    <hyperlink ref="A20" location="'14.Ejendom'!A1" display="'14.Ejendom'!A1"/>
    <hyperlink ref="A21" location="'14.Ejendom'!A1" display="'14.Ejendom'!A1"/>
    <hyperlink ref="A22" location="'14.Ejendom'!A1" display="'14.Ejendom'!A1"/>
    <hyperlink ref="A25" location="'20.Adm.løn'!A1" display="'20.Adm.løn'!A1"/>
    <hyperlink ref="A26" location="'21.Adm'!A1" display="'21.Adm'!A1"/>
  </hyperlinks>
  <pageMargins left="0.27" right="0.13" top="0.21" bottom="0.35" header="0.2" footer="0.27"/>
  <pageSetup paperSize="9"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15"/>
  <sheetViews>
    <sheetView zoomScale="150" zoomScaleNormal="150" zoomScalePageLayoutView="150" workbookViewId="0">
      <selection activeCell="B32" sqref="B32"/>
    </sheetView>
  </sheetViews>
  <sheetFormatPr baseColWidth="10" defaultColWidth="10.83203125" defaultRowHeight="13" x14ac:dyDescent="0.15"/>
  <cols>
    <col min="1" max="1" width="44.5" style="1" customWidth="1"/>
    <col min="2" max="2" width="12.5" style="1" customWidth="1"/>
    <col min="3" max="4" width="10.83203125" style="1"/>
    <col min="5" max="5" width="22.5" style="1" customWidth="1"/>
    <col min="6" max="6" width="10.83203125" style="10"/>
    <col min="7" max="16384" width="10.83203125" style="1"/>
  </cols>
  <sheetData>
    <row r="1" spans="1:5" x14ac:dyDescent="0.15">
      <c r="A1" s="37" t="s">
        <v>101</v>
      </c>
      <c r="D1" s="544" t="s">
        <v>558</v>
      </c>
    </row>
    <row r="2" spans="1:5" ht="25" x14ac:dyDescent="0.25">
      <c r="A2" s="50">
        <f>aarstal</f>
        <v>2018</v>
      </c>
    </row>
    <row r="3" spans="1:5" x14ac:dyDescent="0.15">
      <c r="A3" s="1" t="str">
        <f>"I "&amp;aarstal&amp;", fra august til december, får nyoprettede skoler Finanslovstaksten x 5 /12 pr. elev pr. 5. sep."</f>
        <v>I 2018, fra august til december, får nyoprettede skoler Finanslovstaksten x 5 /12 pr. elev pr. 5. sep.</v>
      </c>
    </row>
    <row r="5" spans="1:5" x14ac:dyDescent="0.15">
      <c r="A5" s="1" t="str">
        <f>"Finanslovstaksten for "&amp;aarstal&amp;":"</f>
        <v>Finanslovstaksten for 2018:</v>
      </c>
      <c r="B5" s="44">
        <v>49632</v>
      </c>
    </row>
    <row r="6" spans="1:5" x14ac:dyDescent="0.15">
      <c r="A6" s="1" t="s">
        <v>102</v>
      </c>
      <c r="B6" s="44">
        <f>B5*5/12</f>
        <v>20680</v>
      </c>
      <c r="E6" s="288"/>
    </row>
    <row r="7" spans="1:5" x14ac:dyDescent="0.15">
      <c r="A7" s="1" t="str">
        <f>"Elevtallet pr. 5. sep "&amp;aarstal&amp;" jf. arket 'Start':"</f>
        <v>Elevtallet pr. 5. sep 2018 jf. arket 'Start':</v>
      </c>
      <c r="B7" s="1">
        <f>elevtal</f>
        <v>0</v>
      </c>
    </row>
    <row r="8" spans="1:5" x14ac:dyDescent="0.15">
      <c r="A8" s="1" t="str">
        <f>"Driftstilskud i "&amp;aarstal</f>
        <v>Driftstilskud i 2018</v>
      </c>
      <c r="B8" s="45">
        <f>elevtal*B6</f>
        <v>0</v>
      </c>
      <c r="C8" s="1" t="s">
        <v>103</v>
      </c>
    </row>
    <row r="10" spans="1:5" ht="25" x14ac:dyDescent="0.25">
      <c r="A10" s="50">
        <f>aarstal+1</f>
        <v>2019</v>
      </c>
    </row>
    <row r="11" spans="1:5" ht="39" customHeight="1" x14ac:dyDescent="0.15">
      <c r="A11" s="569" t="str">
        <f>"Fra "&amp;aarstal+1&amp;" indgår skolen i en fordeling mellem alle de frie grundskoler, hvor driftstilskuddet er opdelt i 3-5 dele afhængig af geografi og elevtal pr. 5. sep. opdelt i 13-årige og derover og elever under 13 år."</f>
        <v>Fra 2019 indgår skolen i en fordeling mellem alle de frie grundskoler, hvor driftstilskuddet er opdelt i 3-5 dele afhængig af geografi og elevtal pr. 5. sep. opdelt i 13-årige og derover og elever under 13 år.</v>
      </c>
      <c r="B11" s="569"/>
      <c r="C11" s="569"/>
    </row>
    <row r="12" spans="1:5" x14ac:dyDescent="0.15">
      <c r="A12" s="1" t="str">
        <f>"Skønnet antal elever under 13 år pr. 5. sep "&amp;aarstal</f>
        <v>Skønnet antal elever under 13 år pr. 5. sep 2018</v>
      </c>
      <c r="B12" s="16"/>
    </row>
    <row r="13" spans="1:5" x14ac:dyDescent="0.15">
      <c r="A13" s="1" t="str">
        <f>"Skønnet antal elever på 13 år og derover pr. 5. sep "&amp;aarstal</f>
        <v>Skønnet antal elever på 13 år og derover pr. 5. sep 2018</v>
      </c>
      <c r="B13" s="16"/>
    </row>
    <row r="14" spans="1:5" x14ac:dyDescent="0.15">
      <c r="A14" s="1" t="str">
        <f>"Skønnet antal elever i 10. kl. pr. 5. sep. "&amp;aarstal</f>
        <v>Skønnet antal elever i 10. kl. pr. 5. sep. 2018</v>
      </c>
      <c r="B14" s="16"/>
    </row>
    <row r="15" spans="1:5" x14ac:dyDescent="0.15">
      <c r="A15" s="1" t="s">
        <v>104</v>
      </c>
      <c r="B15" s="3">
        <f>B12+B13+B14</f>
        <v>0</v>
      </c>
      <c r="C15" s="77" t="str">
        <f>"På arket 'Start' er elevtalllet sat til: "&amp;elevtal&amp; " elever"</f>
        <v>På arket 'Start' er elevtalllet sat til:  elever</v>
      </c>
    </row>
    <row r="16" spans="1:5" ht="14" thickBot="1" x14ac:dyDescent="0.2"/>
    <row r="17" spans="1:6" ht="37" customHeight="1" thickTop="1" x14ac:dyDescent="0.15">
      <c r="A17" s="38" t="s">
        <v>212</v>
      </c>
      <c r="B17" s="16"/>
      <c r="E17" s="53" t="s">
        <v>105</v>
      </c>
      <c r="F17" s="54" t="s">
        <v>106</v>
      </c>
    </row>
    <row r="18" spans="1:6" ht="16" x14ac:dyDescent="0.2">
      <c r="E18" s="55" t="s">
        <v>170</v>
      </c>
      <c r="F18" s="57">
        <v>2</v>
      </c>
    </row>
    <row r="19" spans="1:6" ht="16" x14ac:dyDescent="0.2">
      <c r="B19" s="10" t="s">
        <v>210</v>
      </c>
      <c r="C19" s="10" t="s">
        <v>211</v>
      </c>
      <c r="E19" s="55" t="s">
        <v>116</v>
      </c>
      <c r="F19" s="57">
        <v>6</v>
      </c>
    </row>
    <row r="20" spans="1:6" ht="16" x14ac:dyDescent="0.2">
      <c r="A20" s="1" t="s">
        <v>205</v>
      </c>
      <c r="B20" s="49">
        <v>10000</v>
      </c>
      <c r="C20" s="49">
        <f>MIN(400000,B15*B20)</f>
        <v>0</v>
      </c>
      <c r="E20" s="55" t="s">
        <v>125</v>
      </c>
      <c r="F20" s="57">
        <v>5</v>
      </c>
    </row>
    <row r="21" spans="1:6" ht="16" x14ac:dyDescent="0.2">
      <c r="A21" s="1" t="s">
        <v>206</v>
      </c>
      <c r="B21" s="49">
        <v>6675</v>
      </c>
      <c r="C21" s="49">
        <f>MIN(220,B15*1)*B21</f>
        <v>0</v>
      </c>
      <c r="E21" s="55" t="s">
        <v>154</v>
      </c>
      <c r="F21" s="57">
        <v>2</v>
      </c>
    </row>
    <row r="22" spans="1:6" ht="16" x14ac:dyDescent="0.2">
      <c r="A22" s="1" t="s">
        <v>207</v>
      </c>
      <c r="B22" s="49">
        <v>2670</v>
      </c>
      <c r="C22" s="49">
        <f>MAX(0,B15-220)*B22</f>
        <v>0</v>
      </c>
      <c r="E22" s="55" t="s">
        <v>109</v>
      </c>
      <c r="F22" s="57">
        <v>6</v>
      </c>
    </row>
    <row r="23" spans="1:6" ht="16" x14ac:dyDescent="0.2">
      <c r="A23" s="1" t="s">
        <v>204</v>
      </c>
      <c r="B23" s="49">
        <v>35151</v>
      </c>
      <c r="C23" s="49">
        <f>B12*B23</f>
        <v>0</v>
      </c>
      <c r="E23" s="55" t="s">
        <v>163</v>
      </c>
      <c r="F23" s="57">
        <v>2</v>
      </c>
    </row>
    <row r="24" spans="1:6" ht="16" x14ac:dyDescent="0.2">
      <c r="A24" s="1" t="s">
        <v>208</v>
      </c>
      <c r="B24" s="49">
        <v>46400</v>
      </c>
      <c r="C24" s="49">
        <f>B13*B24</f>
        <v>0</v>
      </c>
      <c r="E24" s="55" t="s">
        <v>159</v>
      </c>
      <c r="F24" s="57">
        <v>2</v>
      </c>
    </row>
    <row r="25" spans="1:6" ht="16" x14ac:dyDescent="0.2">
      <c r="A25" s="36" t="s">
        <v>209</v>
      </c>
      <c r="B25" s="51">
        <v>45295</v>
      </c>
      <c r="C25" s="51">
        <f>B14*B25</f>
        <v>0</v>
      </c>
      <c r="E25" s="55" t="s">
        <v>152</v>
      </c>
      <c r="F25" s="57">
        <v>2</v>
      </c>
    </row>
    <row r="26" spans="1:6" ht="16" x14ac:dyDescent="0.2">
      <c r="A26" s="36" t="str">
        <f>"Tilskud i alt 12 måneder i "&amp;aarstal+1&amp;" (egl skoleåret "&amp;aarstal&amp;"/"&amp;aarstal+1-2000&amp;")"</f>
        <v>Tilskud i alt 12 måneder i 2019 (egl skoleåret 2018/19)</v>
      </c>
      <c r="B26" s="36"/>
      <c r="C26" s="52">
        <f>SUM(C20:C25)</f>
        <v>0</v>
      </c>
      <c r="E26" s="55" t="s">
        <v>110</v>
      </c>
      <c r="F26" s="57">
        <v>6</v>
      </c>
    </row>
    <row r="27" spans="1:6" ht="16" x14ac:dyDescent="0.2">
      <c r="E27" s="55" t="s">
        <v>195</v>
      </c>
      <c r="F27" s="57">
        <v>2</v>
      </c>
    </row>
    <row r="28" spans="1:6" ht="16" x14ac:dyDescent="0.2">
      <c r="A28" s="43" t="str">
        <f>"Tilskud jan -juli "&amp;aarstal+1</f>
        <v>Tilskud jan -juli 2019</v>
      </c>
      <c r="B28" s="60"/>
      <c r="C28" s="28">
        <f>C26/12*7</f>
        <v>0</v>
      </c>
      <c r="D28" s="1" t="s">
        <v>213</v>
      </c>
      <c r="E28" s="55" t="s">
        <v>111</v>
      </c>
      <c r="F28" s="57">
        <v>6</v>
      </c>
    </row>
    <row r="29" spans="1:6" ht="12" customHeight="1" x14ac:dyDescent="0.2">
      <c r="B29" s="49"/>
      <c r="C29" s="49"/>
      <c r="E29" s="55" t="s">
        <v>131</v>
      </c>
      <c r="F29" s="57">
        <v>6</v>
      </c>
    </row>
    <row r="30" spans="1:6" ht="31" customHeight="1" x14ac:dyDescent="0.2">
      <c r="A30" s="569" t="str">
        <f>"For de sidste 5 måneder af "&amp;aarstal+1&amp;" foretages en regulering efter antallet af elever pr. 5. sep, "&amp;aarstal+1</f>
        <v>For de sidste 5 måneder af 2019 foretages en regulering efter antallet af elever pr. 5. sep, 2019</v>
      </c>
      <c r="B30" s="569"/>
      <c r="C30" s="569"/>
      <c r="E30" s="55" t="s">
        <v>166</v>
      </c>
      <c r="F30" s="57">
        <v>3</v>
      </c>
    </row>
    <row r="31" spans="1:6" ht="16" x14ac:dyDescent="0.2">
      <c r="B31" s="49"/>
      <c r="C31" s="49"/>
      <c r="E31" s="55" t="s">
        <v>155</v>
      </c>
      <c r="F31" s="57">
        <v>3</v>
      </c>
    </row>
    <row r="32" spans="1:6" ht="16" x14ac:dyDescent="0.2">
      <c r="A32" s="1" t="str">
        <f>"Skønnet antal elever under 13 år pr. 5. sep "&amp;aarstal+1</f>
        <v>Skønnet antal elever under 13 år pr. 5. sep 2019</v>
      </c>
      <c r="B32" s="16"/>
      <c r="C32" s="49"/>
      <c r="E32" s="55" t="s">
        <v>167</v>
      </c>
      <c r="F32" s="57">
        <v>2</v>
      </c>
    </row>
    <row r="33" spans="1:6" ht="16" x14ac:dyDescent="0.2">
      <c r="A33" s="1" t="str">
        <f>"Skønnet antal elever på 13 år og derover pr. 5. sep "&amp;aarstal+1</f>
        <v>Skønnet antal elever på 13 år og derover pr. 5. sep 2019</v>
      </c>
      <c r="B33" s="16"/>
      <c r="C33" s="49"/>
      <c r="E33" s="55" t="s">
        <v>181</v>
      </c>
      <c r="F33" s="57">
        <v>2</v>
      </c>
    </row>
    <row r="34" spans="1:6" ht="16" x14ac:dyDescent="0.2">
      <c r="A34" s="1" t="str">
        <f>"Skønnet antal elever i 10. kl. pr. 5. sep. "&amp;aarstal+1</f>
        <v>Skønnet antal elever i 10. kl. pr. 5. sep. 2019</v>
      </c>
      <c r="B34" s="16"/>
      <c r="C34" s="49"/>
      <c r="E34" s="55" t="s">
        <v>141</v>
      </c>
      <c r="F34" s="57">
        <v>2</v>
      </c>
    </row>
    <row r="35" spans="1:6" ht="16" x14ac:dyDescent="0.2">
      <c r="A35" s="1" t="s">
        <v>104</v>
      </c>
      <c r="B35" s="3">
        <f>B32+B33+B34</f>
        <v>0</v>
      </c>
      <c r="C35" s="49"/>
      <c r="E35" s="55" t="s">
        <v>126</v>
      </c>
      <c r="F35" s="57">
        <v>5</v>
      </c>
    </row>
    <row r="36" spans="1:6" ht="16" x14ac:dyDescent="0.2">
      <c r="B36" s="49"/>
      <c r="C36" s="49"/>
      <c r="E36" s="55" t="s">
        <v>171</v>
      </c>
      <c r="F36" s="57">
        <v>2</v>
      </c>
    </row>
    <row r="37" spans="1:6" ht="16" x14ac:dyDescent="0.2">
      <c r="A37" s="37" t="str">
        <f>"Vi budgetterer foreløbig med samme takster som i "&amp;aarstal&amp;"."</f>
        <v>Vi budgetterer foreløbig med samme takster som i 2018.</v>
      </c>
      <c r="B37" s="10" t="s">
        <v>210</v>
      </c>
      <c r="C37" s="10" t="s">
        <v>211</v>
      </c>
      <c r="E37" s="55" t="s">
        <v>108</v>
      </c>
      <c r="F37" s="57">
        <v>6</v>
      </c>
    </row>
    <row r="38" spans="1:6" ht="16" x14ac:dyDescent="0.2">
      <c r="A38" s="1" t="s">
        <v>205</v>
      </c>
      <c r="B38" s="49">
        <v>10000</v>
      </c>
      <c r="C38" s="49">
        <f>MIN(400000,B35*B38)</f>
        <v>0</v>
      </c>
      <c r="E38" s="55" t="s">
        <v>196</v>
      </c>
      <c r="F38" s="57">
        <v>3</v>
      </c>
    </row>
    <row r="39" spans="1:6" ht="16" x14ac:dyDescent="0.2">
      <c r="A39" s="1" t="s">
        <v>206</v>
      </c>
      <c r="B39" s="49">
        <f>B21</f>
        <v>6675</v>
      </c>
      <c r="C39" s="49">
        <f>MIN(220,B35*1)*B39</f>
        <v>0</v>
      </c>
      <c r="E39" s="55" t="s">
        <v>132</v>
      </c>
      <c r="F39" s="57">
        <v>5</v>
      </c>
    </row>
    <row r="40" spans="1:6" ht="16" x14ac:dyDescent="0.2">
      <c r="A40" s="1" t="s">
        <v>207</v>
      </c>
      <c r="B40" s="49">
        <f>B22</f>
        <v>2670</v>
      </c>
      <c r="C40" s="49">
        <f>MAX(0,B35-220)*B40</f>
        <v>0</v>
      </c>
      <c r="E40" s="55" t="s">
        <v>135</v>
      </c>
      <c r="F40" s="57">
        <v>5</v>
      </c>
    </row>
    <row r="41" spans="1:6" ht="16" x14ac:dyDescent="0.2">
      <c r="A41" s="1" t="s">
        <v>204</v>
      </c>
      <c r="B41" s="49">
        <f>B23</f>
        <v>35151</v>
      </c>
      <c r="C41" s="49">
        <f>B32*B41</f>
        <v>0</v>
      </c>
      <c r="E41" s="55" t="s">
        <v>124</v>
      </c>
      <c r="F41" s="57">
        <v>6</v>
      </c>
    </row>
    <row r="42" spans="1:6" ht="16" x14ac:dyDescent="0.2">
      <c r="A42" s="1" t="s">
        <v>208</v>
      </c>
      <c r="B42" s="49">
        <f>B24</f>
        <v>46400</v>
      </c>
      <c r="C42" s="49">
        <f>B33*B42</f>
        <v>0</v>
      </c>
      <c r="E42" s="55" t="s">
        <v>112</v>
      </c>
      <c r="F42" s="57">
        <v>6</v>
      </c>
    </row>
    <row r="43" spans="1:6" ht="16" x14ac:dyDescent="0.2">
      <c r="A43" s="36" t="s">
        <v>209</v>
      </c>
      <c r="B43" s="51">
        <f>B25</f>
        <v>45295</v>
      </c>
      <c r="C43" s="51">
        <f>B34*B43</f>
        <v>0</v>
      </c>
      <c r="E43" s="55" t="s">
        <v>113</v>
      </c>
      <c r="F43" s="57">
        <v>6</v>
      </c>
    </row>
    <row r="44" spans="1:6" ht="16" x14ac:dyDescent="0.2">
      <c r="A44" s="36" t="str">
        <f>"Tilskud i alt 12 måneder i "&amp;aarstal+1&amp;"/"&amp;aarstal+2-2000</f>
        <v>Tilskud i alt 12 måneder i 2019/20</v>
      </c>
      <c r="B44" s="36"/>
      <c r="C44" s="52">
        <f>SUM(C38:C43)</f>
        <v>0</v>
      </c>
      <c r="E44" s="55" t="s">
        <v>114</v>
      </c>
      <c r="F44" s="57">
        <v>6</v>
      </c>
    </row>
    <row r="45" spans="1:6" ht="16" x14ac:dyDescent="0.2">
      <c r="E45" s="55" t="s">
        <v>133</v>
      </c>
      <c r="F45" s="57">
        <v>6</v>
      </c>
    </row>
    <row r="46" spans="1:6" ht="16" x14ac:dyDescent="0.2">
      <c r="A46" s="43" t="str">
        <f>"Tilskud aug - dec "&amp;aarstal+1</f>
        <v>Tilskud aug - dec 2019</v>
      </c>
      <c r="B46" s="60"/>
      <c r="C46" s="28">
        <f>C44/12*5</f>
        <v>0</v>
      </c>
      <c r="D46" s="1" t="s">
        <v>213</v>
      </c>
      <c r="E46" s="55" t="s">
        <v>138</v>
      </c>
      <c r="F46" s="57">
        <v>5</v>
      </c>
    </row>
    <row r="47" spans="1:6" ht="16" x14ac:dyDescent="0.2">
      <c r="E47" s="55" t="s">
        <v>150</v>
      </c>
      <c r="F47" s="57">
        <v>2</v>
      </c>
    </row>
    <row r="48" spans="1:6" ht="16" x14ac:dyDescent="0.2">
      <c r="A48" s="1" t="str">
        <f>"Driftstilskud hele "&amp;aarstal+1</f>
        <v>Driftstilskud hele 2019</v>
      </c>
      <c r="C48" s="59">
        <f>C28+C46</f>
        <v>0</v>
      </c>
      <c r="E48" s="55" t="s">
        <v>162</v>
      </c>
      <c r="F48" s="57">
        <v>2</v>
      </c>
    </row>
    <row r="49" spans="5:6" ht="16" x14ac:dyDescent="0.2">
      <c r="E49" s="55" t="s">
        <v>190</v>
      </c>
      <c r="F49" s="57">
        <v>2</v>
      </c>
    </row>
    <row r="50" spans="5:6" ht="16" x14ac:dyDescent="0.2">
      <c r="E50" s="55" t="s">
        <v>127</v>
      </c>
      <c r="F50" s="57">
        <v>5</v>
      </c>
    </row>
    <row r="51" spans="5:6" ht="16" x14ac:dyDescent="0.2">
      <c r="E51" s="55" t="s">
        <v>115</v>
      </c>
      <c r="F51" s="57">
        <v>6</v>
      </c>
    </row>
    <row r="52" spans="5:6" ht="16" x14ac:dyDescent="0.2">
      <c r="E52" s="55" t="s">
        <v>175</v>
      </c>
      <c r="F52" s="57">
        <v>2</v>
      </c>
    </row>
    <row r="53" spans="5:6" ht="16" x14ac:dyDescent="0.2">
      <c r="E53" s="55" t="s">
        <v>128</v>
      </c>
      <c r="F53" s="57">
        <v>5</v>
      </c>
    </row>
    <row r="54" spans="5:6" ht="16" x14ac:dyDescent="0.2">
      <c r="E54" s="55" t="s">
        <v>203</v>
      </c>
      <c r="F54" s="57">
        <v>2</v>
      </c>
    </row>
    <row r="55" spans="5:6" ht="16" x14ac:dyDescent="0.2">
      <c r="E55" s="55" t="s">
        <v>140</v>
      </c>
      <c r="F55" s="57">
        <v>2</v>
      </c>
    </row>
    <row r="56" spans="5:6" ht="16" x14ac:dyDescent="0.2">
      <c r="E56" s="55" t="s">
        <v>176</v>
      </c>
      <c r="F56" s="57">
        <v>2</v>
      </c>
    </row>
    <row r="57" spans="5:6" ht="16" x14ac:dyDescent="0.2">
      <c r="E57" s="55" t="s">
        <v>172</v>
      </c>
      <c r="F57" s="57">
        <v>2</v>
      </c>
    </row>
    <row r="58" spans="5:6" ht="16" x14ac:dyDescent="0.2">
      <c r="E58" s="55" t="s">
        <v>117</v>
      </c>
      <c r="F58" s="57">
        <v>6</v>
      </c>
    </row>
    <row r="59" spans="5:6" ht="16" x14ac:dyDescent="0.2">
      <c r="E59" s="55" t="s">
        <v>118</v>
      </c>
      <c r="F59" s="57">
        <v>6</v>
      </c>
    </row>
    <row r="60" spans="5:6" ht="16" x14ac:dyDescent="0.2">
      <c r="E60" s="55" t="s">
        <v>129</v>
      </c>
      <c r="F60" s="57">
        <v>5</v>
      </c>
    </row>
    <row r="61" spans="5:6" ht="16" x14ac:dyDescent="0.2">
      <c r="E61" s="55" t="s">
        <v>188</v>
      </c>
      <c r="F61" s="57">
        <v>2</v>
      </c>
    </row>
    <row r="62" spans="5:6" ht="16" x14ac:dyDescent="0.2">
      <c r="E62" s="55" t="s">
        <v>121</v>
      </c>
      <c r="F62" s="57">
        <v>6</v>
      </c>
    </row>
    <row r="63" spans="5:6" ht="16" x14ac:dyDescent="0.2">
      <c r="E63" s="55" t="s">
        <v>201</v>
      </c>
      <c r="F63" s="57">
        <v>2</v>
      </c>
    </row>
    <row r="64" spans="5:6" ht="16" x14ac:dyDescent="0.2">
      <c r="E64" s="55" t="s">
        <v>142</v>
      </c>
      <c r="F64" s="57">
        <v>3</v>
      </c>
    </row>
    <row r="65" spans="5:6" ht="16" x14ac:dyDescent="0.2">
      <c r="E65" s="55" t="s">
        <v>156</v>
      </c>
      <c r="F65" s="57">
        <v>3</v>
      </c>
    </row>
    <row r="66" spans="5:6" ht="16" x14ac:dyDescent="0.2">
      <c r="E66" s="55" t="s">
        <v>173</v>
      </c>
      <c r="F66" s="57">
        <v>2</v>
      </c>
    </row>
    <row r="67" spans="5:6" ht="16" x14ac:dyDescent="0.2">
      <c r="E67" s="55" t="s">
        <v>107</v>
      </c>
      <c r="F67" s="57">
        <v>6</v>
      </c>
    </row>
    <row r="68" spans="5:6" ht="16" x14ac:dyDescent="0.2">
      <c r="E68" s="55" t="s">
        <v>134</v>
      </c>
      <c r="F68" s="57">
        <v>4</v>
      </c>
    </row>
    <row r="69" spans="5:6" ht="16" x14ac:dyDescent="0.2">
      <c r="E69" s="55" t="s">
        <v>160</v>
      </c>
      <c r="F69" s="57">
        <v>2</v>
      </c>
    </row>
    <row r="70" spans="5:6" ht="16" x14ac:dyDescent="0.2">
      <c r="E70" s="55" t="s">
        <v>147</v>
      </c>
      <c r="F70" s="57">
        <v>4</v>
      </c>
    </row>
    <row r="71" spans="5:6" ht="16" x14ac:dyDescent="0.2">
      <c r="E71" s="55" t="s">
        <v>177</v>
      </c>
      <c r="F71" s="57">
        <v>2</v>
      </c>
    </row>
    <row r="72" spans="5:6" ht="16" x14ac:dyDescent="0.2">
      <c r="E72" s="55" t="s">
        <v>148</v>
      </c>
      <c r="F72" s="57">
        <v>2</v>
      </c>
    </row>
    <row r="73" spans="5:6" ht="16" x14ac:dyDescent="0.2">
      <c r="E73" s="55" t="s">
        <v>119</v>
      </c>
      <c r="F73" s="57">
        <v>6</v>
      </c>
    </row>
    <row r="74" spans="5:6" ht="16" x14ac:dyDescent="0.2">
      <c r="E74" s="55" t="s">
        <v>198</v>
      </c>
      <c r="F74" s="57">
        <v>2</v>
      </c>
    </row>
    <row r="75" spans="5:6" ht="16" x14ac:dyDescent="0.2">
      <c r="E75" s="55" t="s">
        <v>200</v>
      </c>
      <c r="F75" s="57">
        <v>2</v>
      </c>
    </row>
    <row r="76" spans="5:6" ht="16" x14ac:dyDescent="0.2">
      <c r="E76" s="55" t="s">
        <v>153</v>
      </c>
      <c r="F76" s="57">
        <v>2</v>
      </c>
    </row>
    <row r="77" spans="5:6" ht="16" x14ac:dyDescent="0.2">
      <c r="E77" s="55" t="s">
        <v>191</v>
      </c>
      <c r="F77" s="57">
        <v>2</v>
      </c>
    </row>
    <row r="78" spans="5:6" ht="16" x14ac:dyDescent="0.2">
      <c r="E78" s="55" t="s">
        <v>180</v>
      </c>
      <c r="F78" s="57">
        <v>2</v>
      </c>
    </row>
    <row r="79" spans="5:6" ht="16" x14ac:dyDescent="0.2">
      <c r="E79" s="55" t="s">
        <v>157</v>
      </c>
      <c r="F79" s="57">
        <v>2</v>
      </c>
    </row>
    <row r="80" spans="5:6" ht="16" x14ac:dyDescent="0.2">
      <c r="E80" s="55" t="s">
        <v>149</v>
      </c>
      <c r="F80" s="57">
        <v>3</v>
      </c>
    </row>
    <row r="81" spans="5:6" ht="16" x14ac:dyDescent="0.2">
      <c r="E81" s="55" t="s">
        <v>182</v>
      </c>
      <c r="F81" s="57">
        <v>2</v>
      </c>
    </row>
    <row r="82" spans="5:6" ht="16" x14ac:dyDescent="0.2">
      <c r="E82" s="55" t="s">
        <v>139</v>
      </c>
      <c r="F82" s="57">
        <v>2</v>
      </c>
    </row>
    <row r="83" spans="5:6" ht="16" x14ac:dyDescent="0.2">
      <c r="E83" s="55" t="s">
        <v>183</v>
      </c>
      <c r="F83" s="57">
        <v>2</v>
      </c>
    </row>
    <row r="84" spans="5:6" ht="16" x14ac:dyDescent="0.2">
      <c r="E84" s="55" t="s">
        <v>199</v>
      </c>
      <c r="F84" s="57">
        <v>2</v>
      </c>
    </row>
    <row r="85" spans="5:6" ht="16" x14ac:dyDescent="0.2">
      <c r="E85" s="55" t="s">
        <v>189</v>
      </c>
      <c r="F85" s="57">
        <v>2</v>
      </c>
    </row>
    <row r="86" spans="5:6" ht="16" x14ac:dyDescent="0.2">
      <c r="E86" s="55" t="s">
        <v>143</v>
      </c>
      <c r="F86" s="57">
        <v>2</v>
      </c>
    </row>
    <row r="87" spans="5:6" ht="16" x14ac:dyDescent="0.2">
      <c r="E87" s="55" t="s">
        <v>136</v>
      </c>
      <c r="F87" s="57">
        <v>4</v>
      </c>
    </row>
    <row r="88" spans="5:6" ht="16" x14ac:dyDescent="0.2">
      <c r="E88" s="55" t="s">
        <v>130</v>
      </c>
      <c r="F88" s="57">
        <v>6</v>
      </c>
    </row>
    <row r="89" spans="5:6" ht="16" x14ac:dyDescent="0.2">
      <c r="E89" s="55" t="s">
        <v>120</v>
      </c>
      <c r="F89" s="57">
        <v>6</v>
      </c>
    </row>
    <row r="90" spans="5:6" ht="16" x14ac:dyDescent="0.2">
      <c r="E90" s="55" t="s">
        <v>185</v>
      </c>
      <c r="F90" s="57">
        <v>2</v>
      </c>
    </row>
    <row r="91" spans="5:6" ht="16" x14ac:dyDescent="0.2">
      <c r="E91" s="55" t="s">
        <v>184</v>
      </c>
      <c r="F91" s="57">
        <v>2</v>
      </c>
    </row>
    <row r="92" spans="5:6" ht="16" x14ac:dyDescent="0.2">
      <c r="E92" s="55" t="s">
        <v>186</v>
      </c>
      <c r="F92" s="57">
        <v>2</v>
      </c>
    </row>
    <row r="93" spans="5:6" ht="16" x14ac:dyDescent="0.2">
      <c r="E93" s="55" t="s">
        <v>192</v>
      </c>
      <c r="F93" s="57">
        <v>2</v>
      </c>
    </row>
    <row r="94" spans="5:6" ht="16" x14ac:dyDescent="0.2">
      <c r="E94" s="55" t="s">
        <v>144</v>
      </c>
      <c r="F94" s="57">
        <v>3</v>
      </c>
    </row>
    <row r="95" spans="5:6" ht="16" x14ac:dyDescent="0.2">
      <c r="E95" s="55" t="s">
        <v>137</v>
      </c>
      <c r="F95" s="57">
        <v>4</v>
      </c>
    </row>
    <row r="96" spans="5:6" ht="16" x14ac:dyDescent="0.2">
      <c r="E96" s="55" t="s">
        <v>146</v>
      </c>
      <c r="F96" s="57">
        <v>2</v>
      </c>
    </row>
    <row r="97" spans="5:6" ht="16" x14ac:dyDescent="0.2">
      <c r="E97" s="55" t="s">
        <v>145</v>
      </c>
      <c r="F97" s="57">
        <v>2</v>
      </c>
    </row>
    <row r="98" spans="5:6" ht="16" x14ac:dyDescent="0.2">
      <c r="E98" s="55" t="s">
        <v>178</v>
      </c>
      <c r="F98" s="57">
        <v>2</v>
      </c>
    </row>
    <row r="99" spans="5:6" ht="16" x14ac:dyDescent="0.2">
      <c r="E99" s="55" t="s">
        <v>158</v>
      </c>
      <c r="F99" s="57">
        <v>2</v>
      </c>
    </row>
    <row r="100" spans="5:6" ht="16" x14ac:dyDescent="0.2">
      <c r="E100" s="55" t="s">
        <v>179</v>
      </c>
      <c r="F100" s="57">
        <v>2</v>
      </c>
    </row>
    <row r="101" spans="5:6" ht="16" x14ac:dyDescent="0.2">
      <c r="E101" s="55" t="s">
        <v>164</v>
      </c>
      <c r="F101" s="57">
        <v>3</v>
      </c>
    </row>
    <row r="102" spans="5:6" ht="16" x14ac:dyDescent="0.2">
      <c r="E102" s="55" t="s">
        <v>193</v>
      </c>
      <c r="F102" s="57">
        <v>2</v>
      </c>
    </row>
    <row r="103" spans="5:6" ht="16" x14ac:dyDescent="0.2">
      <c r="E103" s="55" t="s">
        <v>165</v>
      </c>
      <c r="F103" s="57">
        <v>2</v>
      </c>
    </row>
    <row r="104" spans="5:6" ht="16" x14ac:dyDescent="0.2">
      <c r="E104" s="55" t="s">
        <v>122</v>
      </c>
      <c r="F104" s="57">
        <v>6</v>
      </c>
    </row>
    <row r="105" spans="5:6" ht="16" x14ac:dyDescent="0.2">
      <c r="E105" s="55" t="s">
        <v>123</v>
      </c>
      <c r="F105" s="57">
        <v>6</v>
      </c>
    </row>
    <row r="106" spans="5:6" ht="16" x14ac:dyDescent="0.2">
      <c r="E106" s="55" t="s">
        <v>168</v>
      </c>
      <c r="F106" s="57">
        <v>2</v>
      </c>
    </row>
    <row r="107" spans="5:6" ht="16" x14ac:dyDescent="0.2">
      <c r="E107" s="55" t="s">
        <v>169</v>
      </c>
      <c r="F107" s="57">
        <v>2</v>
      </c>
    </row>
    <row r="108" spans="5:6" ht="16" x14ac:dyDescent="0.2">
      <c r="E108" s="55" t="s">
        <v>174</v>
      </c>
      <c r="F108" s="57">
        <v>2</v>
      </c>
    </row>
    <row r="109" spans="5:6" ht="16" x14ac:dyDescent="0.2">
      <c r="E109" s="55" t="s">
        <v>197</v>
      </c>
      <c r="F109" s="57">
        <v>2</v>
      </c>
    </row>
    <row r="110" spans="5:6" ht="16" x14ac:dyDescent="0.2">
      <c r="E110" s="55" t="s">
        <v>194</v>
      </c>
      <c r="F110" s="57">
        <v>2</v>
      </c>
    </row>
    <row r="111" spans="5:6" ht="16" x14ac:dyDescent="0.2">
      <c r="E111" s="55" t="s">
        <v>151</v>
      </c>
      <c r="F111" s="57">
        <v>2</v>
      </c>
    </row>
    <row r="112" spans="5:6" ht="16" x14ac:dyDescent="0.2">
      <c r="E112" s="55" t="s">
        <v>161</v>
      </c>
      <c r="F112" s="57">
        <v>2</v>
      </c>
    </row>
    <row r="113" spans="5:6" ht="16" x14ac:dyDescent="0.2">
      <c r="E113" s="55" t="s">
        <v>202</v>
      </c>
      <c r="F113" s="57">
        <v>3</v>
      </c>
    </row>
    <row r="114" spans="5:6" ht="17" thickBot="1" x14ac:dyDescent="0.25">
      <c r="E114" s="56" t="s">
        <v>187</v>
      </c>
      <c r="F114" s="58">
        <v>4</v>
      </c>
    </row>
    <row r="115" spans="5:6" ht="14" thickTop="1" x14ac:dyDescent="0.15"/>
  </sheetData>
  <sheetProtection sheet="1" objects="1" scenarios="1"/>
  <sortState ref="E16:E113">
    <sortCondition ref="E16:E113"/>
  </sortState>
  <mergeCells count="2">
    <mergeCell ref="A11:C11"/>
    <mergeCell ref="A30:C30"/>
  </mergeCells>
  <dataValidations count="1">
    <dataValidation type="whole" allowBlank="1" showInputMessage="1" showErrorMessage="1" sqref="B17">
      <formula1>2</formula1>
      <formula2>6</formula2>
    </dataValidation>
  </dataValidations>
  <hyperlinks>
    <hyperlink ref="D1" location="'1.Driftstilskud'!A1" display="til 'Budget'"/>
  </hyperlinks>
  <pageMargins left="0.75" right="0.75" top="1" bottom="1" header="0.5" footer="0.5"/>
  <pageSetup paperSize="9" orientation="portrait" horizontalDpi="4294967292" verticalDpi="4294967292"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0"/>
  <sheetViews>
    <sheetView zoomScale="150" zoomScaleNormal="150" zoomScalePageLayoutView="150" workbookViewId="0">
      <selection activeCell="B5" sqref="B5"/>
    </sheetView>
  </sheetViews>
  <sheetFormatPr baseColWidth="10" defaultColWidth="10.83203125" defaultRowHeight="13" x14ac:dyDescent="0.15"/>
  <cols>
    <col min="1" max="1" width="46.1640625" style="132" customWidth="1"/>
    <col min="2" max="2" width="10.83203125" style="132"/>
    <col min="3" max="5" width="13.33203125" style="132" customWidth="1"/>
    <col min="6" max="16384" width="10.83203125" style="132"/>
  </cols>
  <sheetData>
    <row r="1" spans="1:9" x14ac:dyDescent="0.15">
      <c r="A1" s="131" t="s">
        <v>214</v>
      </c>
      <c r="D1" s="133" t="s">
        <v>558</v>
      </c>
    </row>
    <row r="3" spans="1:9" x14ac:dyDescent="0.15">
      <c r="A3" s="131" t="s">
        <v>216</v>
      </c>
    </row>
    <row r="5" spans="1:9" x14ac:dyDescent="0.15">
      <c r="A5" s="132" t="str">
        <f>"Antal tilskudsberettigede elever i SFO pr. 5. sep. "&amp;aarstal</f>
        <v>Antal tilskudsberettigede elever i SFO pr. 5. sep. 2018</v>
      </c>
      <c r="B5" s="39"/>
    </row>
    <row r="7" spans="1:9" x14ac:dyDescent="0.15">
      <c r="A7" s="132" t="str">
        <f>"Antal tilskudsberettigede elever i SFO pr. 5. sep. "&amp;aarstal+1</f>
        <v>Antal tilskudsberettigede elever i SFO pr. 5. sep. 2019</v>
      </c>
      <c r="B7" s="39"/>
      <c r="I7" s="328"/>
    </row>
    <row r="8" spans="1:9" x14ac:dyDescent="0.15">
      <c r="I8" s="328"/>
    </row>
    <row r="9" spans="1:9" x14ac:dyDescent="0.15">
      <c r="A9" s="132" t="str">
        <f>"SFOtilskudstakst i "&amp;aarstal&amp;""</f>
        <v>SFOtilskudstakst i 2018</v>
      </c>
      <c r="B9" s="134">
        <v>7699</v>
      </c>
      <c r="I9" s="329"/>
    </row>
    <row r="10" spans="1:9" x14ac:dyDescent="0.15">
      <c r="A10" s="132" t="str">
        <f>"SFOtilskudstakst i "&amp;aarstal+1&amp;""</f>
        <v>SFOtilskudstakst i 2019</v>
      </c>
      <c r="B10" s="134">
        <v>7699</v>
      </c>
      <c r="C10" s="132" t="s">
        <v>217</v>
      </c>
    </row>
    <row r="12" spans="1:9" x14ac:dyDescent="0.15">
      <c r="A12" s="132" t="str">
        <f>"SFO aug-dec "&amp;aarstal</f>
        <v>SFO aug-dec 2018</v>
      </c>
      <c r="B12" s="270">
        <f>B5*B9*5/12</f>
        <v>0</v>
      </c>
      <c r="C12" s="134" t="s">
        <v>213</v>
      </c>
      <c r="D12" s="134"/>
      <c r="E12" s="134"/>
    </row>
    <row r="13" spans="1:9" x14ac:dyDescent="0.15">
      <c r="A13" s="132" t="str">
        <f>"SFO jan-jul "&amp;aarstal+1</f>
        <v>SFO jan-jul 2019</v>
      </c>
      <c r="B13" s="270">
        <f>B5*B10*7/12</f>
        <v>0</v>
      </c>
      <c r="C13" s="134" t="s">
        <v>213</v>
      </c>
      <c r="D13" s="134"/>
      <c r="E13" s="134"/>
    </row>
    <row r="14" spans="1:9" x14ac:dyDescent="0.15">
      <c r="A14" s="132" t="str">
        <f>"SFO aug-dec "&amp;aarstal+1</f>
        <v>SFO aug-dec 2019</v>
      </c>
      <c r="B14" s="270">
        <f>B7*B10*5/12</f>
        <v>0</v>
      </c>
      <c r="C14" s="134" t="s">
        <v>213</v>
      </c>
      <c r="D14" s="134"/>
      <c r="E14" s="134"/>
    </row>
    <row r="15" spans="1:9" x14ac:dyDescent="0.15">
      <c r="B15" s="134"/>
      <c r="C15" s="134"/>
      <c r="D15" s="134"/>
      <c r="E15" s="134"/>
    </row>
    <row r="16" spans="1:9" x14ac:dyDescent="0.15">
      <c r="A16" s="131" t="s">
        <v>215</v>
      </c>
    </row>
    <row r="18" spans="1:5" x14ac:dyDescent="0.15">
      <c r="A18" s="132" t="str">
        <f>"Bygningstilskudstakst i "&amp;aarstal&amp;"/"&amp;aarstal+1-2000</f>
        <v>Bygningstilskudstakst i 2018/19</v>
      </c>
      <c r="B18" s="134">
        <v>2188</v>
      </c>
      <c r="C18" s="134"/>
      <c r="D18" s="134"/>
      <c r="E18" s="134"/>
    </row>
    <row r="19" spans="1:5" x14ac:dyDescent="0.15">
      <c r="A19" s="132" t="str">
        <f>"Bygningstilskudstakst i "&amp;aarstal+1&amp;"/"&amp;aarstal+2-2000</f>
        <v>Bygningstilskudstakst i 2019/20</v>
      </c>
      <c r="B19" s="134">
        <f>B18*(1+Raabudget!$E$9-Raabudget!$C$9)</f>
        <v>2200.0340000000001</v>
      </c>
      <c r="C19" s="132" t="s">
        <v>217</v>
      </c>
      <c r="D19" s="134"/>
      <c r="E19" s="134"/>
    </row>
    <row r="20" spans="1:5" x14ac:dyDescent="0.15">
      <c r="B20" s="134"/>
      <c r="C20" s="134"/>
      <c r="D20" s="134"/>
      <c r="E20" s="134"/>
    </row>
    <row r="21" spans="1:5" x14ac:dyDescent="0.15">
      <c r="A21" s="132" t="str">
        <f>"Bygningstilskud aug-dec "&amp;aarstal</f>
        <v>Bygningstilskud aug-dec 2018</v>
      </c>
      <c r="B21" s="270">
        <v>0</v>
      </c>
      <c r="C21" s="134"/>
      <c r="D21" s="134"/>
      <c r="E21" s="134"/>
    </row>
    <row r="22" spans="1:5" x14ac:dyDescent="0.15">
      <c r="A22" s="132" t="str">
        <f>"Bygningstilskud jan-jul "&amp;aarstal+1</f>
        <v>Bygningstilskud jan-jul 2019</v>
      </c>
      <c r="B22" s="270">
        <f>B$19*'1.Driftstilskud'!$B$15*7/12</f>
        <v>0</v>
      </c>
      <c r="C22" s="134" t="s">
        <v>213</v>
      </c>
      <c r="D22" s="134"/>
      <c r="E22" s="134"/>
    </row>
    <row r="23" spans="1:5" x14ac:dyDescent="0.15">
      <c r="A23" s="132" t="str">
        <f>"Bygningstilskud aug-dec "&amp;aarstal+1</f>
        <v>Bygningstilskud aug-dec 2019</v>
      </c>
      <c r="B23" s="270">
        <f>B$19*'1.Driftstilskud'!$B$15*5/12</f>
        <v>0</v>
      </c>
      <c r="C23" s="134" t="s">
        <v>213</v>
      </c>
      <c r="D23" s="134"/>
      <c r="E23" s="134"/>
    </row>
    <row r="24" spans="1:5" x14ac:dyDescent="0.15">
      <c r="B24" s="134"/>
      <c r="C24" s="134"/>
      <c r="D24" s="134"/>
      <c r="E24" s="134"/>
    </row>
    <row r="25" spans="1:5" x14ac:dyDescent="0.15">
      <c r="A25" s="131" t="s">
        <v>218</v>
      </c>
      <c r="B25" s="134"/>
      <c r="C25" s="134"/>
      <c r="D25" s="134"/>
      <c r="E25" s="134"/>
    </row>
    <row r="26" spans="1:5" x14ac:dyDescent="0.15">
      <c r="B26" s="134"/>
      <c r="C26" s="134"/>
      <c r="D26" s="134"/>
      <c r="E26" s="134"/>
    </row>
    <row r="27" spans="1:5" x14ac:dyDescent="0.15">
      <c r="A27" s="135" t="s">
        <v>572</v>
      </c>
      <c r="B27" s="136"/>
      <c r="C27" s="136"/>
      <c r="D27" s="134"/>
      <c r="E27" s="562">
        <v>134087</v>
      </c>
    </row>
    <row r="28" spans="1:5" x14ac:dyDescent="0.15">
      <c r="A28" s="135" t="str">
        <f>"Inklusionstilskud aug-dec "&amp;aarstal</f>
        <v>Inklusionstilskud aug-dec 2018</v>
      </c>
      <c r="B28" s="271">
        <f>E32/12*5</f>
        <v>55869.583333333328</v>
      </c>
      <c r="C28" s="136" t="s">
        <v>213</v>
      </c>
      <c r="D28" s="134"/>
      <c r="E28" s="562">
        <f>IF(elevtal&lt;=149,'2.Oevrige Statstilskud'!E27,"0")</f>
        <v>134087</v>
      </c>
    </row>
    <row r="29" spans="1:5" x14ac:dyDescent="0.15">
      <c r="A29" s="135" t="str">
        <f>"Inklusionstilskud jan-jul "&amp;aarstal+1</f>
        <v>Inklusionstilskud jan-jul 2019</v>
      </c>
      <c r="B29" s="271">
        <f>E32/12*7</f>
        <v>78217.416666666657</v>
      </c>
      <c r="C29" s="136" t="s">
        <v>213</v>
      </c>
      <c r="D29" s="134"/>
      <c r="E29" s="562" t="str">
        <f>IF(AND(elevtal&gt;=150,elevtal&lt;=299),'2.Oevrige Statstilskud'!E27*80/100,"0")</f>
        <v>0</v>
      </c>
    </row>
    <row r="30" spans="1:5" x14ac:dyDescent="0.15">
      <c r="A30" s="135" t="str">
        <f>"Inklusionstilskud aug-dec "&amp;aarstal+1</f>
        <v>Inklusionstilskud aug-dec 2019</v>
      </c>
      <c r="B30" s="271">
        <f>E32/12*5</f>
        <v>55869.583333333328</v>
      </c>
      <c r="C30" s="136" t="s">
        <v>213</v>
      </c>
      <c r="D30" s="134"/>
      <c r="E30" s="562" t="str">
        <f>IF(AND(elevtal&gt;=300,elevtal&lt;=450),'2.Oevrige Statstilskud'!E28*60/100,"0")</f>
        <v>0</v>
      </c>
    </row>
    <row r="31" spans="1:5" x14ac:dyDescent="0.15">
      <c r="B31" s="134"/>
      <c r="C31" s="134"/>
      <c r="D31" s="134"/>
      <c r="E31" s="562" t="str">
        <f>IF(elevtal&gt;450,'2.Oevrige Statstilskud'!E27*40/100,"0")</f>
        <v>0</v>
      </c>
    </row>
    <row r="32" spans="1:5" x14ac:dyDescent="0.15">
      <c r="A32" s="131" t="s">
        <v>377</v>
      </c>
      <c r="B32" s="134"/>
      <c r="C32" s="134"/>
      <c r="D32" s="134"/>
      <c r="E32" s="562">
        <f>SUM(E28:E31)</f>
        <v>134087</v>
      </c>
    </row>
    <row r="33" spans="1:5" x14ac:dyDescent="0.15">
      <c r="A33" s="131" t="s">
        <v>219</v>
      </c>
      <c r="B33" s="134"/>
      <c r="C33" s="134"/>
      <c r="D33" s="134"/>
      <c r="E33" s="134"/>
    </row>
    <row r="34" spans="1:5" x14ac:dyDescent="0.15">
      <c r="B34" s="134"/>
      <c r="C34" s="134"/>
      <c r="D34" s="134"/>
      <c r="E34" s="134"/>
    </row>
    <row r="35" spans="1:5" x14ac:dyDescent="0.15">
      <c r="B35" s="134"/>
      <c r="C35" s="134"/>
      <c r="D35" s="134"/>
      <c r="E35" s="134"/>
    </row>
    <row r="36" spans="1:5" x14ac:dyDescent="0.15">
      <c r="B36" s="134"/>
      <c r="C36" s="134"/>
      <c r="D36" s="134"/>
      <c r="E36" s="134"/>
    </row>
    <row r="37" spans="1:5" x14ac:dyDescent="0.15">
      <c r="B37" s="134"/>
      <c r="C37" s="134"/>
      <c r="D37" s="134"/>
      <c r="E37" s="134"/>
    </row>
    <row r="38" spans="1:5" x14ac:dyDescent="0.15">
      <c r="B38" s="134"/>
      <c r="C38" s="134"/>
      <c r="D38" s="134"/>
      <c r="E38" s="134"/>
    </row>
    <row r="39" spans="1:5" x14ac:dyDescent="0.15">
      <c r="B39" s="134"/>
      <c r="C39" s="134"/>
      <c r="D39" s="134"/>
      <c r="E39" s="134"/>
    </row>
    <row r="40" spans="1:5" x14ac:dyDescent="0.15">
      <c r="B40" s="134"/>
      <c r="C40" s="134"/>
      <c r="D40" s="134"/>
      <c r="E40" s="134"/>
    </row>
  </sheetData>
  <sheetProtection sheet="1" objects="1" scenarios="1" formatCells="0" formatColumns="0" formatRows="0"/>
  <hyperlinks>
    <hyperlink ref="D1" location="Rev.budget!A1" display="til 'Rev.budget'"/>
  </hyperlinks>
  <pageMargins left="0.75" right="0.75" top="1" bottom="1" header="0.5" footer="0.5"/>
  <pageSetup paperSize="9" orientation="portrait" horizontalDpi="4294967292" verticalDpi="429496729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5"/>
  <sheetViews>
    <sheetView zoomScale="150" zoomScaleNormal="150" zoomScalePageLayoutView="150" workbookViewId="0">
      <selection activeCell="B5" sqref="B5"/>
    </sheetView>
  </sheetViews>
  <sheetFormatPr baseColWidth="10" defaultColWidth="10.83203125" defaultRowHeight="13" x14ac:dyDescent="0.15"/>
  <cols>
    <col min="1" max="1" width="13.5" style="1" customWidth="1"/>
    <col min="2" max="16384" width="10.83203125" style="1"/>
  </cols>
  <sheetData>
    <row r="1" spans="1:9" x14ac:dyDescent="0.15">
      <c r="A1" s="137" t="s">
        <v>247</v>
      </c>
      <c r="I1" s="544" t="s">
        <v>558</v>
      </c>
    </row>
    <row r="2" spans="1:9" ht="21" thickBot="1" x14ac:dyDescent="0.25">
      <c r="A2" s="138" t="s">
        <v>240</v>
      </c>
      <c r="G2" s="139">
        <f>aarstal</f>
        <v>2018</v>
      </c>
    </row>
    <row r="3" spans="1:9" x14ac:dyDescent="0.15">
      <c r="A3" s="140"/>
      <c r="B3" s="141" t="s">
        <v>222</v>
      </c>
      <c r="C3" s="141" t="s">
        <v>223</v>
      </c>
      <c r="D3" s="141" t="s">
        <v>224</v>
      </c>
      <c r="E3" s="141" t="s">
        <v>225</v>
      </c>
      <c r="F3" s="141" t="s">
        <v>226</v>
      </c>
      <c r="G3" s="141" t="s">
        <v>227</v>
      </c>
      <c r="H3" s="142" t="s">
        <v>228</v>
      </c>
    </row>
    <row r="4" spans="1:9" ht="39" x14ac:dyDescent="0.15">
      <c r="A4" s="143" t="s">
        <v>229</v>
      </c>
      <c r="B4" s="144" t="s">
        <v>230</v>
      </c>
      <c r="C4" s="144" t="s">
        <v>231</v>
      </c>
      <c r="D4" s="144" t="s">
        <v>245</v>
      </c>
      <c r="E4" s="144" t="s">
        <v>232</v>
      </c>
      <c r="F4" s="144" t="s">
        <v>233</v>
      </c>
      <c r="G4" s="144" t="s">
        <v>234</v>
      </c>
      <c r="H4" s="145" t="s">
        <v>235</v>
      </c>
    </row>
    <row r="5" spans="1:9" x14ac:dyDescent="0.15">
      <c r="A5" s="146" t="s">
        <v>236</v>
      </c>
      <c r="B5" s="147"/>
      <c r="C5" s="179"/>
      <c r="D5" s="148">
        <f>B5</f>
        <v>0</v>
      </c>
      <c r="E5" s="149"/>
      <c r="F5" s="150"/>
      <c r="G5" s="151">
        <f>D5*E5*F5</f>
        <v>0</v>
      </c>
      <c r="H5" s="152">
        <f>C5*E5*F5</f>
        <v>0</v>
      </c>
    </row>
    <row r="6" spans="1:9" x14ac:dyDescent="0.15">
      <c r="A6" s="146" t="s">
        <v>237</v>
      </c>
      <c r="B6" s="153"/>
      <c r="C6" s="150"/>
      <c r="D6" s="154">
        <f>B6-C6</f>
        <v>0</v>
      </c>
      <c r="E6" s="149"/>
      <c r="F6" s="150"/>
      <c r="G6" s="151">
        <f>D6*E6*F6</f>
        <v>0</v>
      </c>
      <c r="H6" s="152">
        <f>C6*E6*F6</f>
        <v>0</v>
      </c>
    </row>
    <row r="7" spans="1:9" x14ac:dyDescent="0.15">
      <c r="A7" s="155" t="s">
        <v>238</v>
      </c>
      <c r="B7" s="156"/>
      <c r="C7" s="157"/>
      <c r="D7" s="158">
        <f>B7-C7</f>
        <v>0</v>
      </c>
      <c r="E7" s="159"/>
      <c r="F7" s="160"/>
      <c r="G7" s="161">
        <f>D7*E7*F7</f>
        <v>0</v>
      </c>
      <c r="H7" s="162">
        <f>C7*E7*F7</f>
        <v>0</v>
      </c>
      <c r="I7" s="163" t="s">
        <v>329</v>
      </c>
    </row>
    <row r="8" spans="1:9" ht="14" thickBot="1" x14ac:dyDescent="0.2">
      <c r="A8" s="164" t="s">
        <v>239</v>
      </c>
      <c r="B8" s="165"/>
      <c r="C8" s="165"/>
      <c r="D8" s="166"/>
      <c r="E8" s="167">
        <f>SUM(E5:E7)</f>
        <v>0</v>
      </c>
      <c r="F8" s="168"/>
      <c r="G8" s="167">
        <f>SUM(G5:G7)</f>
        <v>0</v>
      </c>
      <c r="H8" s="169">
        <f>SUM(H5:H7)</f>
        <v>0</v>
      </c>
      <c r="I8" s="170" t="e">
        <f ca="1">Raabudget!D10</f>
        <v>#N/A</v>
      </c>
    </row>
    <row r="9" spans="1:9" x14ac:dyDescent="0.15">
      <c r="A9" s="171"/>
      <c r="B9" s="172"/>
      <c r="C9" s="172"/>
      <c r="D9" s="172"/>
      <c r="E9" s="172"/>
      <c r="F9" s="172"/>
      <c r="G9" s="173"/>
      <c r="H9" s="173"/>
    </row>
    <row r="10" spans="1:9" ht="21" thickBot="1" x14ac:dyDescent="0.25">
      <c r="A10" s="138" t="s">
        <v>221</v>
      </c>
      <c r="F10" s="139"/>
      <c r="G10" s="139">
        <f>G2+1</f>
        <v>2019</v>
      </c>
    </row>
    <row r="11" spans="1:9" x14ac:dyDescent="0.15">
      <c r="A11" s="140"/>
      <c r="B11" s="141" t="s">
        <v>222</v>
      </c>
      <c r="C11" s="141" t="s">
        <v>223</v>
      </c>
      <c r="D11" s="141" t="s">
        <v>224</v>
      </c>
      <c r="E11" s="141" t="s">
        <v>225</v>
      </c>
      <c r="F11" s="141" t="s">
        <v>226</v>
      </c>
      <c r="G11" s="141" t="s">
        <v>227</v>
      </c>
      <c r="H11" s="142" t="s">
        <v>228</v>
      </c>
    </row>
    <row r="12" spans="1:9" ht="39" x14ac:dyDescent="0.15">
      <c r="A12" s="143" t="s">
        <v>229</v>
      </c>
      <c r="B12" s="144" t="s">
        <v>230</v>
      </c>
      <c r="C12" s="144" t="s">
        <v>231</v>
      </c>
      <c r="D12" s="144" t="s">
        <v>245</v>
      </c>
      <c r="E12" s="144" t="s">
        <v>232</v>
      </c>
      <c r="F12" s="144" t="s">
        <v>233</v>
      </c>
      <c r="G12" s="144" t="s">
        <v>234</v>
      </c>
      <c r="H12" s="145" t="s">
        <v>235</v>
      </c>
    </row>
    <row r="13" spans="1:9" x14ac:dyDescent="0.15">
      <c r="A13" s="146" t="s">
        <v>236</v>
      </c>
      <c r="B13" s="147"/>
      <c r="C13" s="179"/>
      <c r="D13" s="148">
        <f>B13</f>
        <v>0</v>
      </c>
      <c r="E13" s="174"/>
      <c r="F13" s="175"/>
      <c r="G13" s="151">
        <f>D13*E13*F13</f>
        <v>0</v>
      </c>
      <c r="H13" s="152">
        <f>C13*E13*F13</f>
        <v>0</v>
      </c>
    </row>
    <row r="14" spans="1:9" x14ac:dyDescent="0.15">
      <c r="A14" s="146" t="s">
        <v>237</v>
      </c>
      <c r="B14" s="153"/>
      <c r="C14" s="150"/>
      <c r="D14" s="154">
        <f>B14-C14</f>
        <v>0</v>
      </c>
      <c r="E14" s="150"/>
      <c r="F14" s="176"/>
      <c r="G14" s="151">
        <f>D14*E14*F14</f>
        <v>0</v>
      </c>
      <c r="H14" s="152">
        <f>C14*E14*F14</f>
        <v>0</v>
      </c>
    </row>
    <row r="15" spans="1:9" x14ac:dyDescent="0.15">
      <c r="A15" s="146" t="s">
        <v>238</v>
      </c>
      <c r="B15" s="153"/>
      <c r="C15" s="150"/>
      <c r="D15" s="158">
        <f>B15-C15</f>
        <v>0</v>
      </c>
      <c r="E15" s="150"/>
      <c r="F15" s="176"/>
      <c r="G15" s="151">
        <f>D15*E15*F15</f>
        <v>0</v>
      </c>
      <c r="H15" s="152">
        <f>C15*E15*F15</f>
        <v>0</v>
      </c>
      <c r="I15" s="163" t="s">
        <v>329</v>
      </c>
    </row>
    <row r="16" spans="1:9" ht="14" thickBot="1" x14ac:dyDescent="0.2">
      <c r="A16" s="164" t="s">
        <v>239</v>
      </c>
      <c r="B16" s="165"/>
      <c r="C16" s="165"/>
      <c r="D16" s="166"/>
      <c r="E16" s="177">
        <f>SUM(E13:E15)</f>
        <v>0</v>
      </c>
      <c r="F16" s="178"/>
      <c r="G16" s="177">
        <f>SUM(G13:G15)</f>
        <v>0</v>
      </c>
      <c r="H16" s="169">
        <f>SUM(H13:H15)</f>
        <v>0</v>
      </c>
      <c r="I16" s="170" t="e">
        <f ca="1">Raabudget!F10</f>
        <v>#N/A</v>
      </c>
    </row>
    <row r="18" spans="1:9" ht="21" thickBot="1" x14ac:dyDescent="0.25">
      <c r="A18" s="138" t="s">
        <v>240</v>
      </c>
      <c r="G18" s="139">
        <f>G10</f>
        <v>2019</v>
      </c>
    </row>
    <row r="19" spans="1:9" x14ac:dyDescent="0.15">
      <c r="A19" s="140"/>
      <c r="B19" s="141" t="s">
        <v>222</v>
      </c>
      <c r="C19" s="141" t="s">
        <v>223</v>
      </c>
      <c r="D19" s="141" t="s">
        <v>224</v>
      </c>
      <c r="E19" s="141" t="s">
        <v>225</v>
      </c>
      <c r="F19" s="141" t="s">
        <v>226</v>
      </c>
      <c r="G19" s="141" t="s">
        <v>227</v>
      </c>
      <c r="H19" s="142" t="s">
        <v>228</v>
      </c>
    </row>
    <row r="20" spans="1:9" ht="39" x14ac:dyDescent="0.15">
      <c r="A20" s="143" t="s">
        <v>229</v>
      </c>
      <c r="B20" s="144" t="s">
        <v>230</v>
      </c>
      <c r="C20" s="144" t="s">
        <v>231</v>
      </c>
      <c r="D20" s="144" t="s">
        <v>245</v>
      </c>
      <c r="E20" s="144" t="s">
        <v>232</v>
      </c>
      <c r="F20" s="144" t="s">
        <v>233</v>
      </c>
      <c r="G20" s="144" t="s">
        <v>234</v>
      </c>
      <c r="H20" s="145" t="s">
        <v>235</v>
      </c>
    </row>
    <row r="21" spans="1:9" x14ac:dyDescent="0.15">
      <c r="A21" s="146" t="s">
        <v>236</v>
      </c>
      <c r="B21" s="147"/>
      <c r="C21" s="179"/>
      <c r="D21" s="148">
        <f>B21</f>
        <v>0</v>
      </c>
      <c r="E21" s="149"/>
      <c r="F21" s="150"/>
      <c r="G21" s="151">
        <f>D21*E21*F21</f>
        <v>0</v>
      </c>
      <c r="H21" s="152">
        <f>C21*E21*F21</f>
        <v>0</v>
      </c>
    </row>
    <row r="22" spans="1:9" x14ac:dyDescent="0.15">
      <c r="A22" s="146" t="s">
        <v>237</v>
      </c>
      <c r="B22" s="153"/>
      <c r="C22" s="150"/>
      <c r="D22" s="154">
        <f>B22-C22</f>
        <v>0</v>
      </c>
      <c r="E22" s="149"/>
      <c r="F22" s="150"/>
      <c r="G22" s="151">
        <f>D22*E22*F22</f>
        <v>0</v>
      </c>
      <c r="H22" s="152">
        <f>C22*E22*F22</f>
        <v>0</v>
      </c>
    </row>
    <row r="23" spans="1:9" x14ac:dyDescent="0.15">
      <c r="A23" s="155" t="s">
        <v>238</v>
      </c>
      <c r="B23" s="156"/>
      <c r="C23" s="157"/>
      <c r="D23" s="158">
        <f>B23-C23</f>
        <v>0</v>
      </c>
      <c r="E23" s="159"/>
      <c r="F23" s="160"/>
      <c r="G23" s="161">
        <f>D23*E23*F23</f>
        <v>0</v>
      </c>
      <c r="H23" s="152">
        <f>C23*E23*F23</f>
        <v>0</v>
      </c>
      <c r="I23" s="163" t="s">
        <v>329</v>
      </c>
    </row>
    <row r="24" spans="1:9" ht="14" thickBot="1" x14ac:dyDescent="0.2">
      <c r="A24" s="164" t="s">
        <v>239</v>
      </c>
      <c r="B24" s="165"/>
      <c r="C24" s="165"/>
      <c r="D24" s="166"/>
      <c r="E24" s="167">
        <f>SUM(E21:E23)</f>
        <v>0</v>
      </c>
      <c r="F24" s="168"/>
      <c r="G24" s="167">
        <f>SUM(G21:G23)</f>
        <v>0</v>
      </c>
      <c r="H24" s="169">
        <f>SUM(H21:H23)</f>
        <v>0</v>
      </c>
      <c r="I24" s="170" t="e">
        <f ca="1">Raabudget!H10</f>
        <v>#N/A</v>
      </c>
    </row>
    <row r="25" spans="1:9" x14ac:dyDescent="0.15">
      <c r="A25" s="171"/>
      <c r="B25" s="172"/>
      <c r="C25" s="172"/>
      <c r="D25" s="172"/>
      <c r="E25" s="172"/>
      <c r="F25" s="172"/>
      <c r="G25" s="173"/>
      <c r="H25" s="173"/>
    </row>
  </sheetData>
  <sheetProtection sheet="1" objects="1" scenarios="1" formatCells="0" formatColumns="0" formatRows="0"/>
  <hyperlinks>
    <hyperlink ref="I1" location="'3.Skolepenge'!A1" display="til 'Budget'"/>
  </hyperlinks>
  <pageMargins left="0.75" right="0.75" top="1" bottom="1" header="0.5" footer="0.5"/>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2"/>
  <sheetViews>
    <sheetView zoomScale="150" zoomScaleNormal="150" zoomScalePageLayoutView="150" workbookViewId="0">
      <selection activeCell="E20" sqref="E20:F21"/>
    </sheetView>
  </sheetViews>
  <sheetFormatPr baseColWidth="10" defaultColWidth="10.83203125" defaultRowHeight="13" x14ac:dyDescent="0.15"/>
  <cols>
    <col min="1" max="16384" width="10.83203125" style="1"/>
  </cols>
  <sheetData>
    <row r="1" spans="1:9" x14ac:dyDescent="0.15">
      <c r="A1" s="137" t="s">
        <v>249</v>
      </c>
      <c r="I1" s="544" t="s">
        <v>558</v>
      </c>
    </row>
    <row r="3" spans="1:9" ht="21" thickBot="1" x14ac:dyDescent="0.25">
      <c r="A3" s="138" t="s">
        <v>244</v>
      </c>
      <c r="G3" s="139">
        <f>aarstal</f>
        <v>2018</v>
      </c>
    </row>
    <row r="4" spans="1:9" x14ac:dyDescent="0.15">
      <c r="A4" s="140"/>
      <c r="B4" s="141" t="s">
        <v>222</v>
      </c>
      <c r="C4" s="141" t="s">
        <v>223</v>
      </c>
      <c r="D4" s="141" t="s">
        <v>224</v>
      </c>
      <c r="E4" s="141" t="s">
        <v>225</v>
      </c>
      <c r="F4" s="141" t="s">
        <v>226</v>
      </c>
      <c r="G4" s="141" t="s">
        <v>227</v>
      </c>
      <c r="H4" s="142" t="s">
        <v>228</v>
      </c>
    </row>
    <row r="5" spans="1:9" ht="39" x14ac:dyDescent="0.15">
      <c r="A5" s="143" t="s">
        <v>229</v>
      </c>
      <c r="B5" s="144" t="s">
        <v>241</v>
      </c>
      <c r="C5" s="144" t="s">
        <v>231</v>
      </c>
      <c r="D5" s="144" t="s">
        <v>246</v>
      </c>
      <c r="E5" s="144" t="s">
        <v>232</v>
      </c>
      <c r="F5" s="144" t="s">
        <v>242</v>
      </c>
      <c r="G5" s="144" t="s">
        <v>243</v>
      </c>
      <c r="H5" s="145" t="s">
        <v>235</v>
      </c>
    </row>
    <row r="6" spans="1:9" x14ac:dyDescent="0.15">
      <c r="A6" s="146" t="s">
        <v>236</v>
      </c>
      <c r="B6" s="180"/>
      <c r="C6" s="190"/>
      <c r="D6" s="148">
        <f>B6</f>
        <v>0</v>
      </c>
      <c r="E6" s="181"/>
      <c r="F6" s="182"/>
      <c r="G6" s="183">
        <f>D6*E6*F6</f>
        <v>0</v>
      </c>
      <c r="H6" s="184">
        <v>0</v>
      </c>
    </row>
    <row r="7" spans="1:9" x14ac:dyDescent="0.15">
      <c r="A7" s="146" t="s">
        <v>237</v>
      </c>
      <c r="B7" s="180"/>
      <c r="C7" s="182"/>
      <c r="D7" s="154">
        <f>B7-C7</f>
        <v>0</v>
      </c>
      <c r="E7" s="181"/>
      <c r="F7" s="182"/>
      <c r="G7" s="183">
        <f>D7*E7*F7</f>
        <v>0</v>
      </c>
      <c r="H7" s="184">
        <v>0</v>
      </c>
      <c r="I7" s="163" t="s">
        <v>329</v>
      </c>
    </row>
    <row r="8" spans="1:9" ht="14" thickBot="1" x14ac:dyDescent="0.2">
      <c r="A8" s="164" t="s">
        <v>239</v>
      </c>
      <c r="B8" s="185"/>
      <c r="C8" s="185"/>
      <c r="D8" s="186"/>
      <c r="E8" s="187">
        <f>SUM(E6:E7)</f>
        <v>0</v>
      </c>
      <c r="F8" s="188"/>
      <c r="G8" s="187">
        <f>SUM(G6:G7)</f>
        <v>0</v>
      </c>
      <c r="H8" s="189">
        <f>SUM(H6:H7)</f>
        <v>0</v>
      </c>
      <c r="I8" s="170" t="e">
        <f ca="1">Raabudget!D11</f>
        <v>#N/A</v>
      </c>
    </row>
    <row r="10" spans="1:9" ht="21" thickBot="1" x14ac:dyDescent="0.25">
      <c r="A10" s="138" t="s">
        <v>248</v>
      </c>
      <c r="G10" s="139">
        <f>aarstal+1</f>
        <v>2019</v>
      </c>
    </row>
    <row r="11" spans="1:9" x14ac:dyDescent="0.15">
      <c r="A11" s="140"/>
      <c r="B11" s="141" t="s">
        <v>222</v>
      </c>
      <c r="C11" s="141" t="s">
        <v>223</v>
      </c>
      <c r="D11" s="141" t="s">
        <v>224</v>
      </c>
      <c r="E11" s="141" t="s">
        <v>225</v>
      </c>
      <c r="F11" s="141" t="s">
        <v>226</v>
      </c>
      <c r="G11" s="141" t="s">
        <v>227</v>
      </c>
      <c r="H11" s="142" t="s">
        <v>228</v>
      </c>
    </row>
    <row r="12" spans="1:9" ht="39" x14ac:dyDescent="0.15">
      <c r="A12" s="143" t="s">
        <v>229</v>
      </c>
      <c r="B12" s="144" t="s">
        <v>241</v>
      </c>
      <c r="C12" s="144" t="s">
        <v>231</v>
      </c>
      <c r="D12" s="144" t="s">
        <v>246</v>
      </c>
      <c r="E12" s="144" t="s">
        <v>232</v>
      </c>
      <c r="F12" s="144" t="s">
        <v>242</v>
      </c>
      <c r="G12" s="144" t="s">
        <v>243</v>
      </c>
      <c r="H12" s="145" t="s">
        <v>235</v>
      </c>
    </row>
    <row r="13" spans="1:9" x14ac:dyDescent="0.15">
      <c r="A13" s="146" t="s">
        <v>236</v>
      </c>
      <c r="B13" s="180"/>
      <c r="C13" s="190"/>
      <c r="D13" s="148">
        <f>B13</f>
        <v>0</v>
      </c>
      <c r="E13" s="181"/>
      <c r="F13" s="182"/>
      <c r="G13" s="183">
        <f>D13*E13*F13</f>
        <v>0</v>
      </c>
      <c r="H13" s="184">
        <v>0</v>
      </c>
    </row>
    <row r="14" spans="1:9" x14ac:dyDescent="0.15">
      <c r="A14" s="146" t="s">
        <v>237</v>
      </c>
      <c r="B14" s="180"/>
      <c r="C14" s="182"/>
      <c r="D14" s="154">
        <f>B14-C14</f>
        <v>0</v>
      </c>
      <c r="E14" s="181"/>
      <c r="F14" s="182"/>
      <c r="G14" s="183">
        <f>D14*E14*F14</f>
        <v>0</v>
      </c>
      <c r="H14" s="184">
        <v>0</v>
      </c>
      <c r="I14" s="163" t="s">
        <v>329</v>
      </c>
    </row>
    <row r="15" spans="1:9" ht="14" thickBot="1" x14ac:dyDescent="0.2">
      <c r="A15" s="164" t="s">
        <v>239</v>
      </c>
      <c r="B15" s="185"/>
      <c r="C15" s="185"/>
      <c r="D15" s="186"/>
      <c r="E15" s="187">
        <f>SUM(E13:E14)</f>
        <v>0</v>
      </c>
      <c r="F15" s="188"/>
      <c r="G15" s="187">
        <f>SUM(G13:G14)</f>
        <v>0</v>
      </c>
      <c r="H15" s="189">
        <f>SUM(H13:H14)</f>
        <v>0</v>
      </c>
      <c r="I15" s="170" t="e">
        <f ca="1">Raabudget!F11</f>
        <v>#N/A</v>
      </c>
    </row>
    <row r="17" spans="1:9" ht="21" thickBot="1" x14ac:dyDescent="0.25">
      <c r="A17" s="138" t="s">
        <v>244</v>
      </c>
      <c r="G17" s="139">
        <f>aarstal+1</f>
        <v>2019</v>
      </c>
    </row>
    <row r="18" spans="1:9" x14ac:dyDescent="0.15">
      <c r="A18" s="140"/>
      <c r="B18" s="141" t="s">
        <v>222</v>
      </c>
      <c r="C18" s="141" t="s">
        <v>223</v>
      </c>
      <c r="D18" s="141" t="s">
        <v>224</v>
      </c>
      <c r="E18" s="141" t="s">
        <v>225</v>
      </c>
      <c r="F18" s="141" t="s">
        <v>226</v>
      </c>
      <c r="G18" s="141" t="s">
        <v>227</v>
      </c>
      <c r="H18" s="142" t="s">
        <v>228</v>
      </c>
    </row>
    <row r="19" spans="1:9" ht="39" x14ac:dyDescent="0.15">
      <c r="A19" s="143" t="s">
        <v>229</v>
      </c>
      <c r="B19" s="144" t="s">
        <v>241</v>
      </c>
      <c r="C19" s="144" t="s">
        <v>231</v>
      </c>
      <c r="D19" s="144" t="s">
        <v>246</v>
      </c>
      <c r="E19" s="144" t="s">
        <v>232</v>
      </c>
      <c r="F19" s="144" t="s">
        <v>242</v>
      </c>
      <c r="G19" s="144" t="s">
        <v>243</v>
      </c>
      <c r="H19" s="145" t="s">
        <v>235</v>
      </c>
    </row>
    <row r="20" spans="1:9" x14ac:dyDescent="0.15">
      <c r="A20" s="146" t="s">
        <v>236</v>
      </c>
      <c r="B20" s="180"/>
      <c r="C20" s="190"/>
      <c r="D20" s="148">
        <f>B20</f>
        <v>0</v>
      </c>
      <c r="E20" s="181"/>
      <c r="F20" s="182"/>
      <c r="G20" s="151">
        <f>D20*E20*F20</f>
        <v>0</v>
      </c>
      <c r="H20" s="184">
        <v>0</v>
      </c>
    </row>
    <row r="21" spans="1:9" x14ac:dyDescent="0.15">
      <c r="A21" s="146" t="s">
        <v>237</v>
      </c>
      <c r="B21" s="180"/>
      <c r="C21" s="182"/>
      <c r="D21" s="154">
        <f>B21-C21</f>
        <v>0</v>
      </c>
      <c r="E21" s="181"/>
      <c r="F21" s="182"/>
      <c r="G21" s="151">
        <f>D21*E21*F21</f>
        <v>0</v>
      </c>
      <c r="H21" s="184">
        <v>0</v>
      </c>
      <c r="I21" s="163" t="s">
        <v>329</v>
      </c>
    </row>
    <row r="22" spans="1:9" ht="14" thickBot="1" x14ac:dyDescent="0.2">
      <c r="A22" s="164" t="s">
        <v>239</v>
      </c>
      <c r="B22" s="185"/>
      <c r="C22" s="185"/>
      <c r="D22" s="186"/>
      <c r="E22" s="187">
        <f>SUM(E20:E21)</f>
        <v>0</v>
      </c>
      <c r="F22" s="188"/>
      <c r="G22" s="187">
        <f>SUM(G20:G21)</f>
        <v>0</v>
      </c>
      <c r="H22" s="189">
        <f>SUM(H20:H21)</f>
        <v>0</v>
      </c>
      <c r="I22" s="170" t="e">
        <f ca="1">Raabudget!H11</f>
        <v>#N/A</v>
      </c>
    </row>
  </sheetData>
  <sheetProtection sheet="1" objects="1" scenarios="1" formatCells="0" formatColumns="0" formatRows="0"/>
  <hyperlinks>
    <hyperlink ref="I1" location="'4.Foraeldrebetaling,SFO'!A1" display="til 'Budget'"/>
  </hyperlinks>
  <pageMargins left="0.75" right="0.75" top="1" bottom="1" header="0.5" footer="0.5"/>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Regneark</vt:lpstr>
      </vt:variant>
      <vt:variant>
        <vt:i4>20</vt:i4>
      </vt:variant>
    </vt:vector>
  </HeadingPairs>
  <TitlesOfParts>
    <vt:vector size="20" baseType="lpstr">
      <vt:lpstr>Indledning</vt:lpstr>
      <vt:lpstr>Statistik</vt:lpstr>
      <vt:lpstr>Start</vt:lpstr>
      <vt:lpstr>Raabudget</vt:lpstr>
      <vt:lpstr>Budget</vt:lpstr>
      <vt:lpstr>1.Driftstilskud</vt:lpstr>
      <vt:lpstr>2.Oevrige Statstilskud</vt:lpstr>
      <vt:lpstr>3.Skolepenge</vt:lpstr>
      <vt:lpstr>4.Foraeldrebetaling,SFO</vt:lpstr>
      <vt:lpstr>5.Andre_Indt</vt:lpstr>
      <vt:lpstr>7.Loen,Uv</vt:lpstr>
      <vt:lpstr>8.Loen,SFO</vt:lpstr>
      <vt:lpstr>9.Uv.</vt:lpstr>
      <vt:lpstr>10.SFOudg.</vt:lpstr>
      <vt:lpstr>12.Ejd.loen</vt:lpstr>
      <vt:lpstr>13.Lokaleleje</vt:lpstr>
      <vt:lpstr>14.Ejendom</vt:lpstr>
      <vt:lpstr>20.Adm.loen</vt:lpstr>
      <vt:lpstr>21.Adm</vt:lpstr>
      <vt:lpstr>22.Dagtilbud</vt:lpstr>
    </vt:vector>
  </TitlesOfParts>
  <Company>DF</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Ole Mikkelsen</dc:creator>
  <cp:lastModifiedBy>Microsoft Office-bruger</cp:lastModifiedBy>
  <cp:lastPrinted>2017-12-19T14:33:37Z</cp:lastPrinted>
  <dcterms:created xsi:type="dcterms:W3CDTF">2014-05-12T13:18:39Z</dcterms:created>
  <dcterms:modified xsi:type="dcterms:W3CDTF">2018-05-16T09:31:19Z</dcterms:modified>
</cp:coreProperties>
</file>