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12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ove/Documents/Løntabeller/2017/2017April/"/>
    </mc:Choice>
  </mc:AlternateContent>
  <bookViews>
    <workbookView xWindow="0" yWindow="460" windowWidth="27980" windowHeight="17540" tabRatio="993"/>
  </bookViews>
  <sheets>
    <sheet name="Forside 1" sheetId="2" r:id="rId1"/>
    <sheet name="Lønoversigt mm." sheetId="28" r:id="rId2"/>
    <sheet name="Lærere og bh kl ledere" sheetId="1" r:id="rId3"/>
    <sheet name="Ledere" sheetId="13" r:id="rId4"/>
    <sheet name="Ark1" sheetId="35" state="hidden" r:id="rId5"/>
    <sheet name="BUPL" sheetId="20" r:id="rId6"/>
    <sheet name="3f (LS_DSSV)" sheetId="24" state="hidden" r:id="rId7"/>
    <sheet name="HK (LS)" sheetId="16" state="hidden" r:id="rId8"/>
    <sheet name="3f (Lilleskolerne, DF, DSSV)" sheetId="33" r:id="rId9"/>
    <sheet name="3F (DPS)" sheetId="32" state="hidden" r:id="rId10"/>
    <sheet name="HK (Lilleskolerne)" sheetId="34" r:id="rId11"/>
    <sheet name="Krifa." sheetId="31" state="hidden" r:id="rId12"/>
    <sheet name="Generelle satser" sheetId="11" r:id="rId13"/>
    <sheet name="Statens skalatrin" sheetId="10" r:id="rId14"/>
    <sheet name="Løntabel gældende fra" sheetId="12" r:id="rId15"/>
  </sheets>
  <externalReferences>
    <externalReference r:id="rId16"/>
    <externalReference r:id="rId17"/>
  </externalReferences>
  <definedNames>
    <definedName name="procentregulering">[1]aarslon!$A$1</definedName>
    <definedName name="_xlnm.Print_Area" localSheetId="8">'3f (Lilleskolerne, DF, DSSV)'!$A$1:$J$65</definedName>
    <definedName name="_xlnm.Print_Area" localSheetId="6">'3f (LS_DSSV)'!$A$1:$J$59</definedName>
    <definedName name="_xlnm.Print_Area" localSheetId="5">BUPL!$A$1:$J$84</definedName>
    <definedName name="_xlnm.Print_Area" localSheetId="0">'Forside 1'!$A$1:$I$24</definedName>
    <definedName name="_xlnm.Print_Area" localSheetId="12">'Generelle satser'!$A$1:$J$84</definedName>
    <definedName name="_xlnm.Print_Area" localSheetId="10">'HK (Lilleskolerne)'!$A$1:$G$38</definedName>
    <definedName name="_xlnm.Print_Area" localSheetId="7">'HK (LS)'!$A$1:$G$38</definedName>
    <definedName name="_xlnm.Print_Area" localSheetId="11">Krifa.!$A$1:$J$55</definedName>
    <definedName name="_xlnm.Print_Area" localSheetId="3">Ledere!$A$1:$G$93</definedName>
    <definedName name="_xlnm.Print_Area" localSheetId="2">'Lærere og bh kl ledere'!$A$1:$I$160</definedName>
    <definedName name="_xlnm.Print_Area" localSheetId="14">'Løntabel gældende fra'!$A$1:$G$18</definedName>
    <definedName name="_xlnm.Print_Area" localSheetId="13">'Statens skalatrin'!$A$1:$P$158</definedName>
    <definedName name="_xlnm.Print_Titles" localSheetId="8">'3f (Lilleskolerne, DF, DSSV)'!$1:$6</definedName>
    <definedName name="_xlnm.Print_Titles" localSheetId="6">'3f (LS_DSSV)'!$1:$4</definedName>
    <definedName name="_xlnm.Print_Titles" localSheetId="5">BUPL!$1:$4</definedName>
    <definedName name="_xlnm.Print_Titles" localSheetId="12">'Generelle satser'!$1:$1</definedName>
    <definedName name="_xlnm.Print_Titles" localSheetId="3">Ledere!$1:$4</definedName>
    <definedName name="_xlnm.Print_Titles" localSheetId="2">'Lærere og bh kl ledere'!$1:$3</definedName>
    <definedName name="_xlnm.Print_Titles" localSheetId="13">'Statens skalatrin'!$1:$5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4" i="13" l="1"/>
  <c r="F53" i="13"/>
  <c r="F52" i="13"/>
  <c r="E41" i="10"/>
  <c r="F41" i="10"/>
  <c r="G41" i="10"/>
  <c r="H41" i="10"/>
  <c r="I41" i="10"/>
  <c r="J41" i="10"/>
  <c r="K41" i="10"/>
  <c r="L41" i="10"/>
  <c r="M41" i="10"/>
  <c r="N41" i="10"/>
  <c r="O41" i="10"/>
  <c r="D41" i="10"/>
  <c r="F71" i="13"/>
  <c r="D71" i="13"/>
  <c r="B73" i="13"/>
  <c r="B74" i="13"/>
  <c r="D74" i="13"/>
  <c r="E74" i="13"/>
  <c r="F74" i="13"/>
  <c r="B75" i="13"/>
  <c r="D75" i="13"/>
  <c r="E75" i="13"/>
  <c r="F75" i="13"/>
  <c r="B76" i="13"/>
  <c r="D76" i="13"/>
  <c r="E76" i="13"/>
  <c r="F76" i="13"/>
  <c r="B77" i="13"/>
  <c r="D77" i="13"/>
  <c r="E77" i="13"/>
  <c r="F77" i="13"/>
  <c r="B78" i="13"/>
  <c r="D78" i="13"/>
  <c r="E78" i="13"/>
  <c r="F78" i="13"/>
  <c r="B79" i="13"/>
  <c r="D79" i="13"/>
  <c r="E79" i="13"/>
  <c r="F79" i="13"/>
  <c r="B80" i="13"/>
  <c r="D80" i="13"/>
  <c r="E80" i="13"/>
  <c r="F80" i="13"/>
  <c r="B81" i="13"/>
  <c r="D81" i="13"/>
  <c r="E81" i="13"/>
  <c r="F81" i="13"/>
  <c r="B82" i="13"/>
  <c r="D82" i="13"/>
  <c r="E82" i="13"/>
  <c r="F82" i="13"/>
  <c r="B83" i="13"/>
  <c r="D83" i="13"/>
  <c r="E83" i="13"/>
  <c r="F83" i="13"/>
  <c r="B84" i="13"/>
  <c r="D84" i="13"/>
  <c r="E84" i="13"/>
  <c r="F84" i="13"/>
  <c r="B85" i="13"/>
  <c r="D85" i="13"/>
  <c r="E85" i="13"/>
  <c r="F85" i="13"/>
  <c r="B86" i="13"/>
  <c r="D86" i="13"/>
  <c r="E86" i="13"/>
  <c r="F86" i="13"/>
  <c r="B87" i="13"/>
  <c r="D87" i="13"/>
  <c r="E87" i="13"/>
  <c r="F87" i="13"/>
  <c r="B88" i="13"/>
  <c r="D88" i="13"/>
  <c r="E88" i="13"/>
  <c r="F88" i="13"/>
  <c r="B89" i="13"/>
  <c r="D89" i="13"/>
  <c r="E89" i="13"/>
  <c r="F89" i="13"/>
  <c r="B90" i="13"/>
  <c r="D90" i="13"/>
  <c r="E90" i="13"/>
  <c r="F90" i="13"/>
  <c r="B91" i="13"/>
  <c r="D91" i="13"/>
  <c r="E91" i="13"/>
  <c r="F91" i="13"/>
  <c r="B92" i="13"/>
  <c r="D92" i="13"/>
  <c r="E92" i="13"/>
  <c r="F92" i="13"/>
  <c r="D73" i="13"/>
  <c r="E73" i="13"/>
  <c r="F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73" i="13"/>
  <c r="A1" i="10"/>
  <c r="E23" i="34"/>
  <c r="D23" i="34"/>
  <c r="C23" i="34"/>
  <c r="E17" i="34"/>
  <c r="D17" i="34"/>
  <c r="C17" i="34"/>
  <c r="F9" i="34"/>
  <c r="E9" i="34"/>
  <c r="D9" i="34"/>
  <c r="A3" i="34"/>
  <c r="I54" i="32"/>
  <c r="I47" i="32"/>
  <c r="I40" i="32"/>
  <c r="I33" i="32"/>
  <c r="I23" i="32"/>
  <c r="A3" i="32"/>
  <c r="A3" i="33"/>
  <c r="A3" i="20"/>
  <c r="E35" i="13"/>
  <c r="E11" i="13"/>
  <c r="E19" i="13"/>
  <c r="E9" i="13"/>
  <c r="A3" i="13"/>
  <c r="F52" i="1"/>
  <c r="D52" i="1"/>
  <c r="A29" i="1"/>
  <c r="A26" i="1"/>
  <c r="A3" i="1"/>
  <c r="G33" i="11"/>
  <c r="H33" i="11"/>
  <c r="G34" i="11"/>
  <c r="H34" i="11"/>
  <c r="G35" i="11"/>
  <c r="H35" i="11"/>
  <c r="G36" i="11"/>
  <c r="H36" i="11"/>
  <c r="G37" i="11"/>
  <c r="H37" i="11"/>
  <c r="H32" i="11"/>
  <c r="F32" i="11"/>
  <c r="E33" i="11"/>
  <c r="F33" i="11"/>
  <c r="E34" i="11"/>
  <c r="F34" i="11"/>
  <c r="E35" i="11"/>
  <c r="F35" i="11"/>
  <c r="E36" i="11"/>
  <c r="F36" i="11"/>
  <c r="E37" i="11"/>
  <c r="F37" i="11"/>
  <c r="F86" i="1"/>
  <c r="G86" i="1"/>
  <c r="O54" i="10"/>
  <c r="O55" i="10"/>
  <c r="G12" i="20"/>
  <c r="J12" i="20"/>
  <c r="O57" i="10"/>
  <c r="O58" i="10"/>
  <c r="G13" i="20"/>
  <c r="J13" i="20"/>
  <c r="O60" i="10"/>
  <c r="O61" i="10"/>
  <c r="G14" i="20"/>
  <c r="J14" i="20"/>
  <c r="O63" i="10"/>
  <c r="O64" i="10"/>
  <c r="G15" i="20"/>
  <c r="J15" i="20"/>
  <c r="O66" i="10"/>
  <c r="O67" i="10"/>
  <c r="G16" i="20"/>
  <c r="J16" i="20"/>
  <c r="O69" i="10"/>
  <c r="O70" i="10"/>
  <c r="G17" i="20"/>
  <c r="J17" i="20"/>
  <c r="O72" i="10"/>
  <c r="O73" i="10"/>
  <c r="G18" i="20"/>
  <c r="J18" i="20"/>
  <c r="O75" i="10"/>
  <c r="O76" i="10"/>
  <c r="G19" i="20"/>
  <c r="J19" i="20"/>
  <c r="O78" i="10"/>
  <c r="O79" i="10"/>
  <c r="G20" i="20"/>
  <c r="J20" i="20"/>
  <c r="O81" i="10"/>
  <c r="O82" i="10"/>
  <c r="G21" i="20"/>
  <c r="J21" i="20"/>
  <c r="O84" i="10"/>
  <c r="O85" i="10"/>
  <c r="G22" i="20"/>
  <c r="J22" i="20"/>
  <c r="O87" i="10"/>
  <c r="O88" i="10"/>
  <c r="G23" i="20"/>
  <c r="J23" i="20"/>
  <c r="O90" i="10"/>
  <c r="O91" i="10"/>
  <c r="G24" i="20"/>
  <c r="J24" i="20"/>
  <c r="O93" i="10"/>
  <c r="O94" i="10"/>
  <c r="G25" i="20"/>
  <c r="J25" i="20"/>
  <c r="O96" i="10"/>
  <c r="O97" i="10"/>
  <c r="G26" i="20"/>
  <c r="J26" i="20"/>
  <c r="O99" i="10"/>
  <c r="O100" i="10"/>
  <c r="G27" i="20"/>
  <c r="J27" i="20"/>
  <c r="O102" i="10"/>
  <c r="O103" i="10"/>
  <c r="G28" i="20"/>
  <c r="J28" i="20"/>
  <c r="O105" i="10"/>
  <c r="O106" i="10"/>
  <c r="G29" i="20"/>
  <c r="J29" i="20"/>
  <c r="O108" i="10"/>
  <c r="O109" i="10"/>
  <c r="G30" i="20"/>
  <c r="J30" i="20"/>
  <c r="O111" i="10"/>
  <c r="O112" i="10"/>
  <c r="G31" i="20"/>
  <c r="J31" i="20"/>
  <c r="O114" i="10"/>
  <c r="O115" i="10"/>
  <c r="G32" i="20"/>
  <c r="J32" i="20"/>
  <c r="O117" i="10"/>
  <c r="O118" i="10"/>
  <c r="G33" i="20"/>
  <c r="J33" i="20"/>
  <c r="O51" i="10"/>
  <c r="O52" i="10"/>
  <c r="G11" i="20"/>
  <c r="J11" i="20"/>
  <c r="O48" i="10"/>
  <c r="O49" i="10"/>
  <c r="G10" i="20"/>
  <c r="J10" i="20"/>
  <c r="O45" i="10"/>
  <c r="O46" i="10"/>
  <c r="G9" i="20"/>
  <c r="J9" i="20"/>
  <c r="I48" i="32"/>
  <c r="I41" i="32"/>
  <c r="I34" i="32"/>
  <c r="I25" i="32"/>
  <c r="I26" i="32"/>
  <c r="I27" i="32"/>
  <c r="I24" i="32"/>
  <c r="B24" i="34"/>
  <c r="C24" i="34"/>
  <c r="B19" i="34"/>
  <c r="C19" i="34"/>
  <c r="B18" i="34"/>
  <c r="C18" i="34"/>
  <c r="C11" i="34"/>
  <c r="D11" i="34"/>
  <c r="C12" i="34"/>
  <c r="D12" i="34"/>
  <c r="C13" i="34"/>
  <c r="D13" i="34"/>
  <c r="C10" i="34"/>
  <c r="D10" i="34"/>
  <c r="I44" i="33"/>
  <c r="F27" i="33"/>
  <c r="F26" i="33"/>
  <c r="I35" i="33"/>
  <c r="I36" i="33"/>
  <c r="I37" i="33"/>
  <c r="I34" i="33"/>
  <c r="I51" i="33"/>
  <c r="I65" i="33"/>
  <c r="D24" i="34"/>
  <c r="E24" i="34"/>
  <c r="D19" i="34"/>
  <c r="E19" i="34"/>
  <c r="D18" i="34"/>
  <c r="E18" i="34"/>
  <c r="E10" i="34"/>
  <c r="F10" i="34"/>
  <c r="E11" i="34"/>
  <c r="F11" i="34"/>
  <c r="E12" i="34"/>
  <c r="F12" i="34"/>
  <c r="E13" i="34"/>
  <c r="F13" i="34"/>
  <c r="B29" i="34"/>
  <c r="E29" i="34"/>
  <c r="C29" i="34"/>
  <c r="D29" i="34"/>
  <c r="B30" i="34"/>
  <c r="E30" i="34"/>
  <c r="C30" i="34"/>
  <c r="D30" i="34"/>
  <c r="B31" i="34"/>
  <c r="E31" i="34"/>
  <c r="C31" i="34"/>
  <c r="D31" i="34"/>
  <c r="B32" i="34"/>
  <c r="E32" i="34"/>
  <c r="C32" i="34"/>
  <c r="D32" i="34"/>
  <c r="D57" i="10"/>
  <c r="D58" i="10"/>
  <c r="B13" i="20"/>
  <c r="D60" i="10"/>
  <c r="D61" i="10"/>
  <c r="B14" i="20"/>
  <c r="D54" i="10"/>
  <c r="D55" i="10"/>
  <c r="B12" i="20"/>
  <c r="D51" i="10"/>
  <c r="D52" i="10"/>
  <c r="B11" i="20"/>
  <c r="I64" i="33"/>
  <c r="I57" i="33"/>
  <c r="I50" i="33"/>
  <c r="I43" i="33"/>
  <c r="I33" i="33"/>
  <c r="F25" i="33"/>
  <c r="I55" i="32"/>
  <c r="J45" i="10"/>
  <c r="J46" i="10"/>
  <c r="E9" i="32"/>
  <c r="E17" i="32"/>
  <c r="L45" i="10"/>
  <c r="L46" i="10"/>
  <c r="F9" i="32"/>
  <c r="F17" i="32"/>
  <c r="L63" i="10"/>
  <c r="L64" i="10"/>
  <c r="F11" i="32"/>
  <c r="J63" i="10"/>
  <c r="J64" i="10"/>
  <c r="E11" i="32"/>
  <c r="H63" i="10"/>
  <c r="H64" i="10"/>
  <c r="D11" i="32"/>
  <c r="F63" i="10"/>
  <c r="F64" i="10"/>
  <c r="C11" i="32"/>
  <c r="D63" i="10"/>
  <c r="D64" i="10"/>
  <c r="B11" i="32"/>
  <c r="H45" i="10"/>
  <c r="H46" i="10"/>
  <c r="D9" i="32"/>
  <c r="F45" i="10"/>
  <c r="F46" i="10"/>
  <c r="C9" i="32"/>
  <c r="D45" i="10"/>
  <c r="D46" i="10"/>
  <c r="B9" i="32"/>
  <c r="G11" i="32"/>
  <c r="G10" i="32"/>
  <c r="L54" i="10"/>
  <c r="L55" i="10"/>
  <c r="F10" i="32"/>
  <c r="J54" i="10"/>
  <c r="J55" i="10"/>
  <c r="E10" i="32"/>
  <c r="H54" i="10"/>
  <c r="H55" i="10"/>
  <c r="D10" i="32"/>
  <c r="F54" i="10"/>
  <c r="F55" i="10"/>
  <c r="C10" i="32"/>
  <c r="B10" i="32"/>
  <c r="G9" i="32"/>
  <c r="F13" i="33"/>
  <c r="F14" i="33"/>
  <c r="E13" i="33"/>
  <c r="E14" i="33"/>
  <c r="C13" i="33"/>
  <c r="C14" i="33"/>
  <c r="D13" i="33"/>
  <c r="D14" i="33"/>
  <c r="G13" i="33"/>
  <c r="G12" i="33"/>
  <c r="J12" i="33"/>
  <c r="C12" i="33"/>
  <c r="D12" i="33"/>
  <c r="E12" i="33"/>
  <c r="F12" i="33"/>
  <c r="F10" i="33"/>
  <c r="F11" i="33"/>
  <c r="E10" i="33"/>
  <c r="E11" i="33"/>
  <c r="D10" i="33"/>
  <c r="D11" i="33"/>
  <c r="C10" i="33"/>
  <c r="C11" i="33"/>
  <c r="B10" i="33"/>
  <c r="B11" i="33"/>
  <c r="C20" i="33"/>
  <c r="G10" i="33"/>
  <c r="J10" i="33"/>
  <c r="B13" i="33"/>
  <c r="B14" i="33"/>
  <c r="B12" i="33"/>
  <c r="E20" i="33"/>
  <c r="F20" i="33"/>
  <c r="J13" i="33"/>
  <c r="H13" i="33"/>
  <c r="B20" i="33"/>
  <c r="I13" i="33"/>
  <c r="H12" i="33"/>
  <c r="I12" i="33"/>
  <c r="I10" i="33"/>
  <c r="H10" i="33"/>
  <c r="D20" i="33"/>
  <c r="B17" i="32"/>
  <c r="D17" i="32"/>
  <c r="J9" i="32"/>
  <c r="I9" i="32"/>
  <c r="J10" i="32"/>
  <c r="I10" i="32"/>
  <c r="J11" i="32"/>
  <c r="H11" i="32"/>
  <c r="C17" i="32"/>
  <c r="H9" i="32"/>
  <c r="F46" i="20"/>
  <c r="I67" i="20"/>
  <c r="I66" i="20"/>
  <c r="I65" i="20"/>
  <c r="I64" i="20"/>
  <c r="I63" i="20"/>
  <c r="I62" i="20"/>
  <c r="I60" i="20"/>
  <c r="I59" i="20"/>
  <c r="I54" i="20"/>
  <c r="I53" i="20"/>
  <c r="I52" i="20"/>
  <c r="F47" i="20"/>
  <c r="H47" i="20"/>
  <c r="G47" i="20"/>
  <c r="H46" i="20"/>
  <c r="F84" i="20"/>
  <c r="F83" i="20"/>
  <c r="O156" i="10"/>
  <c r="O157" i="10"/>
  <c r="O158" i="10"/>
  <c r="N158" i="10"/>
  <c r="M158" i="10"/>
  <c r="L156" i="10"/>
  <c r="L157" i="10"/>
  <c r="L158" i="10"/>
  <c r="K157" i="10"/>
  <c r="K158" i="10"/>
  <c r="J156" i="10"/>
  <c r="J157" i="10"/>
  <c r="J158" i="10"/>
  <c r="I157" i="10"/>
  <c r="I158" i="10"/>
  <c r="H156" i="10"/>
  <c r="H157" i="10"/>
  <c r="H158" i="10"/>
  <c r="G157" i="10"/>
  <c r="G158" i="10"/>
  <c r="F156" i="10"/>
  <c r="F157" i="10"/>
  <c r="F158" i="10"/>
  <c r="D156" i="10"/>
  <c r="D157" i="10"/>
  <c r="D158" i="10"/>
  <c r="O153" i="10"/>
  <c r="O154" i="10"/>
  <c r="O155" i="10"/>
  <c r="N155" i="10"/>
  <c r="M155" i="10"/>
  <c r="L153" i="10"/>
  <c r="L154" i="10"/>
  <c r="L155" i="10"/>
  <c r="K154" i="10"/>
  <c r="K155" i="10"/>
  <c r="J153" i="10"/>
  <c r="J154" i="10"/>
  <c r="J155" i="10"/>
  <c r="I154" i="10"/>
  <c r="I155" i="10"/>
  <c r="H153" i="10"/>
  <c r="H154" i="10"/>
  <c r="H155" i="10"/>
  <c r="G154" i="10"/>
  <c r="G155" i="10"/>
  <c r="F153" i="10"/>
  <c r="F154" i="10"/>
  <c r="F155" i="10"/>
  <c r="D153" i="10"/>
  <c r="D154" i="10"/>
  <c r="D155" i="10"/>
  <c r="O150" i="10"/>
  <c r="O151" i="10"/>
  <c r="O152" i="10"/>
  <c r="N152" i="10"/>
  <c r="M152" i="10"/>
  <c r="L150" i="10"/>
  <c r="L151" i="10"/>
  <c r="L152" i="10"/>
  <c r="K151" i="10"/>
  <c r="K152" i="10"/>
  <c r="J150" i="10"/>
  <c r="J151" i="10"/>
  <c r="J152" i="10"/>
  <c r="I151" i="10"/>
  <c r="I152" i="10"/>
  <c r="H150" i="10"/>
  <c r="H151" i="10"/>
  <c r="H152" i="10"/>
  <c r="G151" i="10"/>
  <c r="G152" i="10"/>
  <c r="F150" i="10"/>
  <c r="F151" i="10"/>
  <c r="F152" i="10"/>
  <c r="D150" i="10"/>
  <c r="D151" i="10"/>
  <c r="D152" i="10"/>
  <c r="O147" i="10"/>
  <c r="O148" i="10"/>
  <c r="G40" i="20"/>
  <c r="N149" i="10"/>
  <c r="M149" i="10"/>
  <c r="L147" i="10"/>
  <c r="L148" i="10"/>
  <c r="K148" i="10"/>
  <c r="K149" i="10"/>
  <c r="J147" i="10"/>
  <c r="J148" i="10"/>
  <c r="I148" i="10"/>
  <c r="I149" i="10"/>
  <c r="H147" i="10"/>
  <c r="H148" i="10"/>
  <c r="G148" i="10"/>
  <c r="G149" i="10"/>
  <c r="F147" i="10"/>
  <c r="F148" i="10"/>
  <c r="D147" i="10"/>
  <c r="D148" i="10"/>
  <c r="B40" i="20"/>
  <c r="O144" i="10"/>
  <c r="O145" i="10"/>
  <c r="N146" i="10"/>
  <c r="M146" i="10"/>
  <c r="L144" i="10"/>
  <c r="L145" i="10"/>
  <c r="K145" i="10"/>
  <c r="K146" i="10"/>
  <c r="J144" i="10"/>
  <c r="J145" i="10"/>
  <c r="J146" i="10"/>
  <c r="I145" i="10"/>
  <c r="I146" i="10"/>
  <c r="H144" i="10"/>
  <c r="H145" i="10"/>
  <c r="H146" i="10"/>
  <c r="G145" i="10"/>
  <c r="G146" i="10"/>
  <c r="F144" i="10"/>
  <c r="F145" i="10"/>
  <c r="F146" i="10"/>
  <c r="D144" i="10"/>
  <c r="D145" i="10"/>
  <c r="D146" i="10"/>
  <c r="O141" i="10"/>
  <c r="O142" i="10"/>
  <c r="O143" i="10"/>
  <c r="N143" i="10"/>
  <c r="M143" i="10"/>
  <c r="L141" i="10"/>
  <c r="L142" i="10"/>
  <c r="L143" i="10"/>
  <c r="K142" i="10"/>
  <c r="K143" i="10"/>
  <c r="J141" i="10"/>
  <c r="J142" i="10"/>
  <c r="J143" i="10"/>
  <c r="I142" i="10"/>
  <c r="I143" i="10"/>
  <c r="H141" i="10"/>
  <c r="H142" i="10"/>
  <c r="H143" i="10"/>
  <c r="G142" i="10"/>
  <c r="G143" i="10"/>
  <c r="F141" i="10"/>
  <c r="F142" i="10"/>
  <c r="F143" i="10"/>
  <c r="D141" i="10"/>
  <c r="D142" i="10"/>
  <c r="D143" i="10"/>
  <c r="O138" i="10"/>
  <c r="O139" i="10"/>
  <c r="O140" i="10"/>
  <c r="N140" i="10"/>
  <c r="M140" i="10"/>
  <c r="L138" i="10"/>
  <c r="L139" i="10"/>
  <c r="L140" i="10"/>
  <c r="K139" i="10"/>
  <c r="K140" i="10"/>
  <c r="J138" i="10"/>
  <c r="J139" i="10"/>
  <c r="J140" i="10"/>
  <c r="I139" i="10"/>
  <c r="I140" i="10"/>
  <c r="H138" i="10"/>
  <c r="H139" i="10"/>
  <c r="H140" i="10"/>
  <c r="G139" i="10"/>
  <c r="G140" i="10"/>
  <c r="F138" i="10"/>
  <c r="F139" i="10"/>
  <c r="F140" i="10"/>
  <c r="D138" i="10"/>
  <c r="D139" i="10"/>
  <c r="D140" i="10"/>
  <c r="O135" i="10"/>
  <c r="O136" i="10"/>
  <c r="N137" i="10"/>
  <c r="M137" i="10"/>
  <c r="L135" i="10"/>
  <c r="L136" i="10"/>
  <c r="K136" i="10"/>
  <c r="K137" i="10"/>
  <c r="J135" i="10"/>
  <c r="J136" i="10"/>
  <c r="I136" i="10"/>
  <c r="I137" i="10"/>
  <c r="H135" i="10"/>
  <c r="H136" i="10"/>
  <c r="G136" i="10"/>
  <c r="G137" i="10"/>
  <c r="F135" i="10"/>
  <c r="F136" i="10"/>
  <c r="D135" i="10"/>
  <c r="D136" i="10"/>
  <c r="O132" i="10"/>
  <c r="O133" i="10"/>
  <c r="O134" i="10"/>
  <c r="N134" i="10"/>
  <c r="M134" i="10"/>
  <c r="L132" i="10"/>
  <c r="L133" i="10"/>
  <c r="K133" i="10"/>
  <c r="K134" i="10"/>
  <c r="J132" i="10"/>
  <c r="J133" i="10"/>
  <c r="J134" i="10"/>
  <c r="I133" i="10"/>
  <c r="I134" i="10"/>
  <c r="H132" i="10"/>
  <c r="H133" i="10"/>
  <c r="H134" i="10"/>
  <c r="G133" i="10"/>
  <c r="G134" i="10"/>
  <c r="F132" i="10"/>
  <c r="F133" i="10"/>
  <c r="F134" i="10"/>
  <c r="D132" i="10"/>
  <c r="D133" i="10"/>
  <c r="D134" i="10"/>
  <c r="O129" i="10"/>
  <c r="O130" i="10"/>
  <c r="N131" i="10"/>
  <c r="M131" i="10"/>
  <c r="L129" i="10"/>
  <c r="L130" i="10"/>
  <c r="F38" i="20"/>
  <c r="K130" i="10"/>
  <c r="K131" i="10"/>
  <c r="J129" i="10"/>
  <c r="J130" i="10"/>
  <c r="I130" i="10"/>
  <c r="I131" i="10"/>
  <c r="H129" i="10"/>
  <c r="H130" i="10"/>
  <c r="G130" i="10"/>
  <c r="G131" i="10"/>
  <c r="F129" i="10"/>
  <c r="F130" i="10"/>
  <c r="D129" i="10"/>
  <c r="D130" i="10"/>
  <c r="O126" i="10"/>
  <c r="O127" i="10"/>
  <c r="O128" i="10"/>
  <c r="N128" i="10"/>
  <c r="M128" i="10"/>
  <c r="L126" i="10"/>
  <c r="L127" i="10"/>
  <c r="L128" i="10"/>
  <c r="K127" i="10"/>
  <c r="K128" i="10"/>
  <c r="J126" i="10"/>
  <c r="J127" i="10"/>
  <c r="J128" i="10"/>
  <c r="I127" i="10"/>
  <c r="I128" i="10"/>
  <c r="H126" i="10"/>
  <c r="H127" i="10"/>
  <c r="H128" i="10"/>
  <c r="G127" i="10"/>
  <c r="G128" i="10"/>
  <c r="F126" i="10"/>
  <c r="F127" i="10"/>
  <c r="F128" i="10"/>
  <c r="D126" i="10"/>
  <c r="D127" i="10"/>
  <c r="O123" i="10"/>
  <c r="O124" i="10"/>
  <c r="G37" i="20"/>
  <c r="J37" i="20"/>
  <c r="N125" i="10"/>
  <c r="M125" i="10"/>
  <c r="L123" i="10"/>
  <c r="L124" i="10"/>
  <c r="K124" i="10"/>
  <c r="K125" i="10"/>
  <c r="J123" i="10"/>
  <c r="J124" i="10"/>
  <c r="I124" i="10"/>
  <c r="I125" i="10"/>
  <c r="H123" i="10"/>
  <c r="H124" i="10"/>
  <c r="G124" i="10"/>
  <c r="G125" i="10"/>
  <c r="F123" i="10"/>
  <c r="F124" i="10"/>
  <c r="D123" i="10"/>
  <c r="D124" i="10"/>
  <c r="O120" i="10"/>
  <c r="O121" i="10"/>
  <c r="O122" i="10"/>
  <c r="N122" i="10"/>
  <c r="M122" i="10"/>
  <c r="L120" i="10"/>
  <c r="L121" i="10"/>
  <c r="L122" i="10"/>
  <c r="K121" i="10"/>
  <c r="K122" i="10"/>
  <c r="J120" i="10"/>
  <c r="J121" i="10"/>
  <c r="J122" i="10"/>
  <c r="I121" i="10"/>
  <c r="I122" i="10"/>
  <c r="H120" i="10"/>
  <c r="H121" i="10"/>
  <c r="H122" i="10"/>
  <c r="G121" i="10"/>
  <c r="G122" i="10"/>
  <c r="F120" i="10"/>
  <c r="F121" i="10"/>
  <c r="D120" i="10"/>
  <c r="D121" i="10"/>
  <c r="D122" i="10"/>
  <c r="O119" i="10"/>
  <c r="N119" i="10"/>
  <c r="M119" i="10"/>
  <c r="L117" i="10"/>
  <c r="L118" i="10"/>
  <c r="L119" i="10"/>
  <c r="K118" i="10"/>
  <c r="K119" i="10"/>
  <c r="J117" i="10"/>
  <c r="J118" i="10"/>
  <c r="J119" i="10"/>
  <c r="I118" i="10"/>
  <c r="I119" i="10"/>
  <c r="H117" i="10"/>
  <c r="H118" i="10"/>
  <c r="G118" i="10"/>
  <c r="G119" i="10"/>
  <c r="F117" i="10"/>
  <c r="F118" i="10"/>
  <c r="F119" i="10"/>
  <c r="D117" i="10"/>
  <c r="D118" i="10"/>
  <c r="N116" i="10"/>
  <c r="M116" i="10"/>
  <c r="L114" i="10"/>
  <c r="L115" i="10"/>
  <c r="L116" i="10"/>
  <c r="K115" i="10"/>
  <c r="K116" i="10"/>
  <c r="J114" i="10"/>
  <c r="J115" i="10"/>
  <c r="J116" i="10"/>
  <c r="I115" i="10"/>
  <c r="I116" i="10"/>
  <c r="H114" i="10"/>
  <c r="H115" i="10"/>
  <c r="G115" i="10"/>
  <c r="G116" i="10"/>
  <c r="F114" i="10"/>
  <c r="F115" i="10"/>
  <c r="D114" i="10"/>
  <c r="D115" i="10"/>
  <c r="O113" i="10"/>
  <c r="N113" i="10"/>
  <c r="M113" i="10"/>
  <c r="L111" i="10"/>
  <c r="L112" i="10"/>
  <c r="L113" i="10"/>
  <c r="K112" i="10"/>
  <c r="K113" i="10"/>
  <c r="J111" i="10"/>
  <c r="J112" i="10"/>
  <c r="I112" i="10"/>
  <c r="I113" i="10"/>
  <c r="H111" i="10"/>
  <c r="H112" i="10"/>
  <c r="H113" i="10"/>
  <c r="G112" i="10"/>
  <c r="G113" i="10"/>
  <c r="F111" i="10"/>
  <c r="F112" i="10"/>
  <c r="F113" i="10"/>
  <c r="D111" i="10"/>
  <c r="D112" i="10"/>
  <c r="O110" i="10"/>
  <c r="N110" i="10"/>
  <c r="M110" i="10"/>
  <c r="L108" i="10"/>
  <c r="L109" i="10"/>
  <c r="L110" i="10"/>
  <c r="K109" i="10"/>
  <c r="K110" i="10"/>
  <c r="J108" i="10"/>
  <c r="J109" i="10"/>
  <c r="I109" i="10"/>
  <c r="I110" i="10"/>
  <c r="H108" i="10"/>
  <c r="H109" i="10"/>
  <c r="H110" i="10"/>
  <c r="G109" i="10"/>
  <c r="G110" i="10"/>
  <c r="F108" i="10"/>
  <c r="F109" i="10"/>
  <c r="F110" i="10"/>
  <c r="D108" i="10"/>
  <c r="D109" i="10"/>
  <c r="B30" i="20"/>
  <c r="D110" i="10"/>
  <c r="O107" i="10"/>
  <c r="N107" i="10"/>
  <c r="M107" i="10"/>
  <c r="L105" i="10"/>
  <c r="L106" i="10"/>
  <c r="L107" i="10"/>
  <c r="K106" i="10"/>
  <c r="K107" i="10"/>
  <c r="J105" i="10"/>
  <c r="J106" i="10"/>
  <c r="J107" i="10"/>
  <c r="I106" i="10"/>
  <c r="I107" i="10"/>
  <c r="H105" i="10"/>
  <c r="H106" i="10"/>
  <c r="H107" i="10"/>
  <c r="G106" i="10"/>
  <c r="G107" i="10"/>
  <c r="F105" i="10"/>
  <c r="F106" i="10"/>
  <c r="F107" i="10"/>
  <c r="D105" i="10"/>
  <c r="D106" i="10"/>
  <c r="O104" i="10"/>
  <c r="N104" i="10"/>
  <c r="M104" i="10"/>
  <c r="L102" i="10"/>
  <c r="L103" i="10"/>
  <c r="L104" i="10"/>
  <c r="K103" i="10"/>
  <c r="K104" i="10"/>
  <c r="J102" i="10"/>
  <c r="J103" i="10"/>
  <c r="J104" i="10"/>
  <c r="I103" i="10"/>
  <c r="I104" i="10"/>
  <c r="H102" i="10"/>
  <c r="H103" i="10"/>
  <c r="H104" i="10"/>
  <c r="G103" i="10"/>
  <c r="G104" i="10"/>
  <c r="F102" i="10"/>
  <c r="F103" i="10"/>
  <c r="F104" i="10"/>
  <c r="D102" i="10"/>
  <c r="D103" i="10"/>
  <c r="O101" i="10"/>
  <c r="N101" i="10"/>
  <c r="M101" i="10"/>
  <c r="L99" i="10"/>
  <c r="L100" i="10"/>
  <c r="L101" i="10"/>
  <c r="K100" i="10"/>
  <c r="K101" i="10"/>
  <c r="J99" i="10"/>
  <c r="J100" i="10"/>
  <c r="J101" i="10"/>
  <c r="I100" i="10"/>
  <c r="I101" i="10"/>
  <c r="H99" i="10"/>
  <c r="H100" i="10"/>
  <c r="H101" i="10"/>
  <c r="G100" i="10"/>
  <c r="G101" i="10"/>
  <c r="F99" i="10"/>
  <c r="F100" i="10"/>
  <c r="F101" i="10"/>
  <c r="D99" i="10"/>
  <c r="D100" i="10"/>
  <c r="N98" i="10"/>
  <c r="M98" i="10"/>
  <c r="L96" i="10"/>
  <c r="L97" i="10"/>
  <c r="L98" i="10"/>
  <c r="K97" i="10"/>
  <c r="K98" i="10"/>
  <c r="J96" i="10"/>
  <c r="J97" i="10"/>
  <c r="I97" i="10"/>
  <c r="I98" i="10"/>
  <c r="H96" i="10"/>
  <c r="H97" i="10"/>
  <c r="H98" i="10"/>
  <c r="G97" i="10"/>
  <c r="G98" i="10"/>
  <c r="F96" i="10"/>
  <c r="F97" i="10"/>
  <c r="F98" i="10"/>
  <c r="D96" i="10"/>
  <c r="D97" i="10"/>
  <c r="O95" i="10"/>
  <c r="N95" i="10"/>
  <c r="M95" i="10"/>
  <c r="L93" i="10"/>
  <c r="L94" i="10"/>
  <c r="L95" i="10"/>
  <c r="K94" i="10"/>
  <c r="K95" i="10"/>
  <c r="J93" i="10"/>
  <c r="J94" i="10"/>
  <c r="J95" i="10"/>
  <c r="I94" i="10"/>
  <c r="I95" i="10"/>
  <c r="H93" i="10"/>
  <c r="H94" i="10"/>
  <c r="H95" i="10"/>
  <c r="G94" i="10"/>
  <c r="G95" i="10"/>
  <c r="F93" i="10"/>
  <c r="F94" i="10"/>
  <c r="F95" i="10"/>
  <c r="D93" i="10"/>
  <c r="D94" i="10"/>
  <c r="O92" i="10"/>
  <c r="N92" i="10"/>
  <c r="M92" i="10"/>
  <c r="L90" i="10"/>
  <c r="L91" i="10"/>
  <c r="K91" i="10"/>
  <c r="K92" i="10"/>
  <c r="J90" i="10"/>
  <c r="J91" i="10"/>
  <c r="J92" i="10"/>
  <c r="I91" i="10"/>
  <c r="I92" i="10"/>
  <c r="H90" i="10"/>
  <c r="H91" i="10"/>
  <c r="G91" i="10"/>
  <c r="G92" i="10"/>
  <c r="F90" i="10"/>
  <c r="F91" i="10"/>
  <c r="F92" i="10"/>
  <c r="D90" i="10"/>
  <c r="D91" i="10"/>
  <c r="O89" i="10"/>
  <c r="N89" i="10"/>
  <c r="M89" i="10"/>
  <c r="L87" i="10"/>
  <c r="L88" i="10"/>
  <c r="L89" i="10"/>
  <c r="K88" i="10"/>
  <c r="K89" i="10"/>
  <c r="J87" i="10"/>
  <c r="J88" i="10"/>
  <c r="I88" i="10"/>
  <c r="I89" i="10"/>
  <c r="H87" i="10"/>
  <c r="H88" i="10"/>
  <c r="D23" i="20"/>
  <c r="G88" i="10"/>
  <c r="G89" i="10"/>
  <c r="F87" i="10"/>
  <c r="F88" i="10"/>
  <c r="F89" i="10"/>
  <c r="E88" i="10"/>
  <c r="E89" i="10"/>
  <c r="D87" i="10"/>
  <c r="D88" i="10"/>
  <c r="O86" i="10"/>
  <c r="N86" i="10"/>
  <c r="M86" i="10"/>
  <c r="L84" i="10"/>
  <c r="L85" i="10"/>
  <c r="L86" i="10"/>
  <c r="K85" i="10"/>
  <c r="K86" i="10"/>
  <c r="J84" i="10"/>
  <c r="J85" i="10"/>
  <c r="J86" i="10"/>
  <c r="I85" i="10"/>
  <c r="I86" i="10"/>
  <c r="H84" i="10"/>
  <c r="H85" i="10"/>
  <c r="H86" i="10"/>
  <c r="G85" i="10"/>
  <c r="G86" i="10"/>
  <c r="F84" i="10"/>
  <c r="F85" i="10"/>
  <c r="F86" i="10"/>
  <c r="D84" i="10"/>
  <c r="D85" i="10"/>
  <c r="O83" i="10"/>
  <c r="N83" i="10"/>
  <c r="M83" i="10"/>
  <c r="L81" i="10"/>
  <c r="L82" i="10"/>
  <c r="K82" i="10"/>
  <c r="K83" i="10"/>
  <c r="J81" i="10"/>
  <c r="J82" i="10"/>
  <c r="J83" i="10"/>
  <c r="I82" i="10"/>
  <c r="I83" i="10"/>
  <c r="H81" i="10"/>
  <c r="H82" i="10"/>
  <c r="G82" i="10"/>
  <c r="G83" i="10"/>
  <c r="F81" i="10"/>
  <c r="F82" i="10"/>
  <c r="F83" i="10"/>
  <c r="D81" i="10"/>
  <c r="D82" i="10"/>
  <c r="N80" i="10"/>
  <c r="M80" i="10"/>
  <c r="L78" i="10"/>
  <c r="L79" i="10"/>
  <c r="K79" i="10"/>
  <c r="K80" i="10"/>
  <c r="J78" i="10"/>
  <c r="J79" i="10"/>
  <c r="I79" i="10"/>
  <c r="I80" i="10"/>
  <c r="H78" i="10"/>
  <c r="H79" i="10"/>
  <c r="G79" i="10"/>
  <c r="G80" i="10"/>
  <c r="F78" i="10"/>
  <c r="F79" i="10"/>
  <c r="D78" i="10"/>
  <c r="D79" i="10"/>
  <c r="B20" i="20"/>
  <c r="N77" i="10"/>
  <c r="M77" i="10"/>
  <c r="L75" i="10"/>
  <c r="L76" i="10"/>
  <c r="K76" i="10"/>
  <c r="K77" i="10"/>
  <c r="J75" i="10"/>
  <c r="J76" i="10"/>
  <c r="I76" i="10"/>
  <c r="I77" i="10"/>
  <c r="H75" i="10"/>
  <c r="H76" i="10"/>
  <c r="G76" i="10"/>
  <c r="G77" i="10"/>
  <c r="F75" i="10"/>
  <c r="F76" i="10"/>
  <c r="F77" i="10"/>
  <c r="D75" i="10"/>
  <c r="D76" i="10"/>
  <c r="B19" i="20"/>
  <c r="N74" i="10"/>
  <c r="M74" i="10"/>
  <c r="L72" i="10"/>
  <c r="L73" i="10"/>
  <c r="K73" i="10"/>
  <c r="K74" i="10"/>
  <c r="J72" i="10"/>
  <c r="J73" i="10"/>
  <c r="J74" i="10"/>
  <c r="I73" i="10"/>
  <c r="I74" i="10"/>
  <c r="H72" i="10"/>
  <c r="H73" i="10"/>
  <c r="G73" i="10"/>
  <c r="G74" i="10"/>
  <c r="F72" i="10"/>
  <c r="F73" i="10"/>
  <c r="D72" i="10"/>
  <c r="D73" i="10"/>
  <c r="B18" i="20"/>
  <c r="D74" i="10"/>
  <c r="O71" i="10"/>
  <c r="N71" i="10"/>
  <c r="M71" i="10"/>
  <c r="L69" i="10"/>
  <c r="L70" i="10"/>
  <c r="F17" i="20"/>
  <c r="K70" i="10"/>
  <c r="K71" i="10"/>
  <c r="J69" i="10"/>
  <c r="J70" i="10"/>
  <c r="I70" i="10"/>
  <c r="I71" i="10"/>
  <c r="H69" i="10"/>
  <c r="H70" i="10"/>
  <c r="G70" i="10"/>
  <c r="G71" i="10"/>
  <c r="F69" i="10"/>
  <c r="F70" i="10"/>
  <c r="D69" i="10"/>
  <c r="D70" i="10"/>
  <c r="B17" i="20"/>
  <c r="H16" i="20"/>
  <c r="O68" i="10"/>
  <c r="N68" i="10"/>
  <c r="M68" i="10"/>
  <c r="L66" i="10"/>
  <c r="L67" i="10"/>
  <c r="K67" i="10"/>
  <c r="K68" i="10"/>
  <c r="J66" i="10"/>
  <c r="J67" i="10"/>
  <c r="I67" i="10"/>
  <c r="I68" i="10"/>
  <c r="H66" i="10"/>
  <c r="H67" i="10"/>
  <c r="D16" i="20"/>
  <c r="G67" i="10"/>
  <c r="G68" i="10"/>
  <c r="F66" i="10"/>
  <c r="F67" i="10"/>
  <c r="C16" i="20"/>
  <c r="F68" i="10"/>
  <c r="D66" i="10"/>
  <c r="D67" i="10"/>
  <c r="B16" i="20"/>
  <c r="N65" i="10"/>
  <c r="M65" i="10"/>
  <c r="K64" i="10"/>
  <c r="K65" i="10"/>
  <c r="I64" i="10"/>
  <c r="I65" i="10"/>
  <c r="G64" i="10"/>
  <c r="G65" i="10"/>
  <c r="C15" i="20"/>
  <c r="F65" i="10"/>
  <c r="B15" i="20"/>
  <c r="N62" i="10"/>
  <c r="M62" i="10"/>
  <c r="L60" i="10"/>
  <c r="L61" i="10"/>
  <c r="K61" i="10"/>
  <c r="K62" i="10"/>
  <c r="J60" i="10"/>
  <c r="J61" i="10"/>
  <c r="J62" i="10"/>
  <c r="I61" i="10"/>
  <c r="I62" i="10"/>
  <c r="H60" i="10"/>
  <c r="H61" i="10"/>
  <c r="D14" i="20"/>
  <c r="G61" i="10"/>
  <c r="G62" i="10"/>
  <c r="F60" i="10"/>
  <c r="F61" i="10"/>
  <c r="N59" i="10"/>
  <c r="M59" i="10"/>
  <c r="L57" i="10"/>
  <c r="L58" i="10"/>
  <c r="K58" i="10"/>
  <c r="K59" i="10"/>
  <c r="J57" i="10"/>
  <c r="J58" i="10"/>
  <c r="E13" i="20"/>
  <c r="I58" i="10"/>
  <c r="I59" i="10"/>
  <c r="H57" i="10"/>
  <c r="H58" i="10"/>
  <c r="G58" i="10"/>
  <c r="G59" i="10"/>
  <c r="F57" i="10"/>
  <c r="F58" i="10"/>
  <c r="D59" i="10"/>
  <c r="N56" i="10"/>
  <c r="M56" i="10"/>
  <c r="K55" i="10"/>
  <c r="K56" i="10"/>
  <c r="J56" i="10"/>
  <c r="I55" i="10"/>
  <c r="I56" i="10"/>
  <c r="D11" i="24"/>
  <c r="G55" i="10"/>
  <c r="G56" i="10"/>
  <c r="N53" i="10"/>
  <c r="M53" i="10"/>
  <c r="L51" i="10"/>
  <c r="L52" i="10"/>
  <c r="K52" i="10"/>
  <c r="K53" i="10"/>
  <c r="J51" i="10"/>
  <c r="J52" i="10"/>
  <c r="I52" i="10"/>
  <c r="I53" i="10"/>
  <c r="H51" i="10"/>
  <c r="H52" i="10"/>
  <c r="D11" i="20"/>
  <c r="H53" i="10"/>
  <c r="G52" i="10"/>
  <c r="G53" i="10"/>
  <c r="F51" i="10"/>
  <c r="F52" i="10"/>
  <c r="D53" i="10"/>
  <c r="N50" i="10"/>
  <c r="M50" i="10"/>
  <c r="L48" i="10"/>
  <c r="L49" i="10"/>
  <c r="K49" i="10"/>
  <c r="K50" i="10"/>
  <c r="J48" i="10"/>
  <c r="J49" i="10"/>
  <c r="E10" i="20"/>
  <c r="I49" i="10"/>
  <c r="I50" i="10"/>
  <c r="H48" i="10"/>
  <c r="H49" i="10"/>
  <c r="G49" i="10"/>
  <c r="G50" i="10"/>
  <c r="F48" i="10"/>
  <c r="F49" i="10"/>
  <c r="D48" i="10"/>
  <c r="D49" i="10"/>
  <c r="B10" i="20"/>
  <c r="N47" i="10"/>
  <c r="M47" i="10"/>
  <c r="K46" i="10"/>
  <c r="K47" i="10"/>
  <c r="I46" i="10"/>
  <c r="I47" i="10"/>
  <c r="F24" i="24"/>
  <c r="D10" i="24"/>
  <c r="D18" i="24"/>
  <c r="G46" i="10"/>
  <c r="G47" i="10"/>
  <c r="F47" i="10"/>
  <c r="O42" i="10"/>
  <c r="O43" i="10"/>
  <c r="O44" i="10"/>
  <c r="N44" i="10"/>
  <c r="M44" i="10"/>
  <c r="L42" i="10"/>
  <c r="L43" i="10"/>
  <c r="L44" i="10"/>
  <c r="K43" i="10"/>
  <c r="K44" i="10"/>
  <c r="J42" i="10"/>
  <c r="J43" i="10"/>
  <c r="J44" i="10"/>
  <c r="I43" i="10"/>
  <c r="I44" i="10"/>
  <c r="H42" i="10"/>
  <c r="H43" i="10"/>
  <c r="H44" i="10"/>
  <c r="G43" i="10"/>
  <c r="G44" i="10"/>
  <c r="F42" i="10"/>
  <c r="F43" i="10"/>
  <c r="F44" i="10"/>
  <c r="D42" i="10"/>
  <c r="D43" i="10"/>
  <c r="D44" i="10"/>
  <c r="O39" i="10"/>
  <c r="O40" i="10"/>
  <c r="L39" i="10"/>
  <c r="L40" i="10"/>
  <c r="K40" i="10"/>
  <c r="J39" i="10"/>
  <c r="J40" i="10"/>
  <c r="I40" i="10"/>
  <c r="H39" i="10"/>
  <c r="H40" i="10"/>
  <c r="G40" i="10"/>
  <c r="F39" i="10"/>
  <c r="F40" i="10"/>
  <c r="D39" i="10"/>
  <c r="D40" i="10"/>
  <c r="O36" i="10"/>
  <c r="O37" i="10"/>
  <c r="O38" i="10"/>
  <c r="N38" i="10"/>
  <c r="M38" i="10"/>
  <c r="L36" i="10"/>
  <c r="L37" i="10"/>
  <c r="L38" i="10"/>
  <c r="K37" i="10"/>
  <c r="K38" i="10"/>
  <c r="J36" i="10"/>
  <c r="J37" i="10"/>
  <c r="J38" i="10"/>
  <c r="I37" i="10"/>
  <c r="I38" i="10"/>
  <c r="H36" i="10"/>
  <c r="H37" i="10"/>
  <c r="H38" i="10"/>
  <c r="G37" i="10"/>
  <c r="G38" i="10"/>
  <c r="F36" i="10"/>
  <c r="F37" i="10"/>
  <c r="F38" i="10"/>
  <c r="D36" i="10"/>
  <c r="D37" i="10"/>
  <c r="D38" i="10"/>
  <c r="O33" i="10"/>
  <c r="O34" i="10"/>
  <c r="O35" i="10"/>
  <c r="N35" i="10"/>
  <c r="M35" i="10"/>
  <c r="L33" i="10"/>
  <c r="L34" i="10"/>
  <c r="L35" i="10"/>
  <c r="K34" i="10"/>
  <c r="K35" i="10"/>
  <c r="J33" i="10"/>
  <c r="J34" i="10"/>
  <c r="J35" i="10"/>
  <c r="I34" i="10"/>
  <c r="I35" i="10"/>
  <c r="H33" i="10"/>
  <c r="H34" i="10"/>
  <c r="H35" i="10"/>
  <c r="G34" i="10"/>
  <c r="G35" i="10"/>
  <c r="F33" i="10"/>
  <c r="F34" i="10"/>
  <c r="F35" i="10"/>
  <c r="D33" i="10"/>
  <c r="D34" i="10"/>
  <c r="D35" i="10"/>
  <c r="O30" i="10"/>
  <c r="O31" i="10"/>
  <c r="O32" i="10"/>
  <c r="N32" i="10"/>
  <c r="M32" i="10"/>
  <c r="L30" i="10"/>
  <c r="L31" i="10"/>
  <c r="L32" i="10"/>
  <c r="K31" i="10"/>
  <c r="K32" i="10"/>
  <c r="J30" i="10"/>
  <c r="J31" i="10"/>
  <c r="J32" i="10"/>
  <c r="I31" i="10"/>
  <c r="I32" i="10"/>
  <c r="H30" i="10"/>
  <c r="H31" i="10"/>
  <c r="H32" i="10"/>
  <c r="G31" i="10"/>
  <c r="G32" i="10"/>
  <c r="F30" i="10"/>
  <c r="F31" i="10"/>
  <c r="F32" i="10"/>
  <c r="D30" i="10"/>
  <c r="D31" i="10"/>
  <c r="D32" i="10"/>
  <c r="O27" i="10"/>
  <c r="O28" i="10"/>
  <c r="O29" i="10"/>
  <c r="N29" i="10"/>
  <c r="M29" i="10"/>
  <c r="L27" i="10"/>
  <c r="L28" i="10"/>
  <c r="L29" i="10"/>
  <c r="K28" i="10"/>
  <c r="K29" i="10"/>
  <c r="J27" i="10"/>
  <c r="J28" i="10"/>
  <c r="J29" i="10"/>
  <c r="I28" i="10"/>
  <c r="I29" i="10"/>
  <c r="H27" i="10"/>
  <c r="H28" i="10"/>
  <c r="H29" i="10"/>
  <c r="G28" i="10"/>
  <c r="G29" i="10"/>
  <c r="F27" i="10"/>
  <c r="F28" i="10"/>
  <c r="F29" i="10"/>
  <c r="D27" i="10"/>
  <c r="D28" i="10"/>
  <c r="D29" i="10"/>
  <c r="O24" i="10"/>
  <c r="O25" i="10"/>
  <c r="O26" i="10"/>
  <c r="N26" i="10"/>
  <c r="M26" i="10"/>
  <c r="L24" i="10"/>
  <c r="L25" i="10"/>
  <c r="L26" i="10"/>
  <c r="K25" i="10"/>
  <c r="K26" i="10"/>
  <c r="J24" i="10"/>
  <c r="J25" i="10"/>
  <c r="J26" i="10"/>
  <c r="I25" i="10"/>
  <c r="I26" i="10"/>
  <c r="H24" i="10"/>
  <c r="H25" i="10"/>
  <c r="H26" i="10"/>
  <c r="G25" i="10"/>
  <c r="G26" i="10"/>
  <c r="F24" i="10"/>
  <c r="F25" i="10"/>
  <c r="F26" i="10"/>
  <c r="D24" i="10"/>
  <c r="D25" i="10"/>
  <c r="D26" i="10"/>
  <c r="O21" i="10"/>
  <c r="O22" i="10"/>
  <c r="O23" i="10"/>
  <c r="N23" i="10"/>
  <c r="M23" i="10"/>
  <c r="L21" i="10"/>
  <c r="L22" i="10"/>
  <c r="L23" i="10"/>
  <c r="K22" i="10"/>
  <c r="K23" i="10"/>
  <c r="J21" i="10"/>
  <c r="J22" i="10"/>
  <c r="J23" i="10"/>
  <c r="I22" i="10"/>
  <c r="I23" i="10"/>
  <c r="H21" i="10"/>
  <c r="H22" i="10"/>
  <c r="H23" i="10"/>
  <c r="G22" i="10"/>
  <c r="G23" i="10"/>
  <c r="F21" i="10"/>
  <c r="F22" i="10"/>
  <c r="F23" i="10"/>
  <c r="D21" i="10"/>
  <c r="D22" i="10"/>
  <c r="D23" i="10"/>
  <c r="O18" i="10"/>
  <c r="O19" i="10"/>
  <c r="O20" i="10"/>
  <c r="N20" i="10"/>
  <c r="M20" i="10"/>
  <c r="L18" i="10"/>
  <c r="L19" i="10"/>
  <c r="L20" i="10"/>
  <c r="K19" i="10"/>
  <c r="K20" i="10"/>
  <c r="J18" i="10"/>
  <c r="J19" i="10"/>
  <c r="J20" i="10"/>
  <c r="I19" i="10"/>
  <c r="I20" i="10"/>
  <c r="H18" i="10"/>
  <c r="H19" i="10"/>
  <c r="H20" i="10"/>
  <c r="G19" i="10"/>
  <c r="G20" i="10"/>
  <c r="F18" i="10"/>
  <c r="F19" i="10"/>
  <c r="F20" i="10"/>
  <c r="D18" i="10"/>
  <c r="D19" i="10"/>
  <c r="D20" i="10"/>
  <c r="O15" i="10"/>
  <c r="O16" i="10"/>
  <c r="O17" i="10"/>
  <c r="N17" i="10"/>
  <c r="M17" i="10"/>
  <c r="L15" i="10"/>
  <c r="L16" i="10"/>
  <c r="L17" i="10"/>
  <c r="K16" i="10"/>
  <c r="K17" i="10"/>
  <c r="J15" i="10"/>
  <c r="J16" i="10"/>
  <c r="J17" i="10"/>
  <c r="I16" i="10"/>
  <c r="I17" i="10"/>
  <c r="H15" i="10"/>
  <c r="H16" i="10"/>
  <c r="H17" i="10"/>
  <c r="G16" i="10"/>
  <c r="G17" i="10"/>
  <c r="F15" i="10"/>
  <c r="F16" i="10"/>
  <c r="F17" i="10"/>
  <c r="D15" i="10"/>
  <c r="D16" i="10"/>
  <c r="D17" i="10"/>
  <c r="O12" i="10"/>
  <c r="O13" i="10"/>
  <c r="O14" i="10"/>
  <c r="N14" i="10"/>
  <c r="M14" i="10"/>
  <c r="L12" i="10"/>
  <c r="L13" i="10"/>
  <c r="L14" i="10"/>
  <c r="K13" i="10"/>
  <c r="K14" i="10"/>
  <c r="J12" i="10"/>
  <c r="J13" i="10"/>
  <c r="J14" i="10"/>
  <c r="I13" i="10"/>
  <c r="I14" i="10"/>
  <c r="H12" i="10"/>
  <c r="H13" i="10"/>
  <c r="H14" i="10"/>
  <c r="G13" i="10"/>
  <c r="G14" i="10"/>
  <c r="F12" i="10"/>
  <c r="F13" i="10"/>
  <c r="F14" i="10"/>
  <c r="D12" i="10"/>
  <c r="D13" i="10"/>
  <c r="D14" i="10"/>
  <c r="O9" i="10"/>
  <c r="O10" i="10"/>
  <c r="O11" i="10"/>
  <c r="N11" i="10"/>
  <c r="M11" i="10"/>
  <c r="L9" i="10"/>
  <c r="L10" i="10"/>
  <c r="L11" i="10"/>
  <c r="K10" i="10"/>
  <c r="K11" i="10"/>
  <c r="J9" i="10"/>
  <c r="J10" i="10"/>
  <c r="J11" i="10"/>
  <c r="I10" i="10"/>
  <c r="I11" i="10"/>
  <c r="H9" i="10"/>
  <c r="H10" i="10"/>
  <c r="H11" i="10"/>
  <c r="G10" i="10"/>
  <c r="G11" i="10"/>
  <c r="F9" i="10"/>
  <c r="F10" i="10"/>
  <c r="F11" i="10"/>
  <c r="D9" i="10"/>
  <c r="D10" i="10"/>
  <c r="D11" i="10"/>
  <c r="O6" i="10"/>
  <c r="O7" i="10"/>
  <c r="O8" i="10"/>
  <c r="N8" i="10"/>
  <c r="M8" i="10"/>
  <c r="L6" i="10"/>
  <c r="L7" i="10"/>
  <c r="L8" i="10"/>
  <c r="K7" i="10"/>
  <c r="K8" i="10"/>
  <c r="J6" i="10"/>
  <c r="J7" i="10"/>
  <c r="J8" i="10"/>
  <c r="I7" i="10"/>
  <c r="I8" i="10"/>
  <c r="H6" i="10"/>
  <c r="H7" i="10"/>
  <c r="H8" i="10"/>
  <c r="G7" i="10"/>
  <c r="G8" i="10"/>
  <c r="F6" i="10"/>
  <c r="F7" i="10"/>
  <c r="F8" i="10"/>
  <c r="D6" i="10"/>
  <c r="D7" i="10"/>
  <c r="D8" i="10"/>
  <c r="F25" i="24"/>
  <c r="B12" i="24"/>
  <c r="C151" i="1"/>
  <c r="E151" i="1"/>
  <c r="C150" i="1"/>
  <c r="C149" i="1"/>
  <c r="F149" i="1"/>
  <c r="G149" i="1"/>
  <c r="H149" i="1"/>
  <c r="C148" i="1"/>
  <c r="F148" i="1"/>
  <c r="G148" i="1"/>
  <c r="H148" i="1"/>
  <c r="C147" i="1"/>
  <c r="C143" i="1"/>
  <c r="C146" i="1"/>
  <c r="C145" i="1"/>
  <c r="F145" i="1"/>
  <c r="E145" i="1"/>
  <c r="C144" i="1"/>
  <c r="F144" i="1"/>
  <c r="G144" i="1"/>
  <c r="H144" i="1"/>
  <c r="C142" i="1"/>
  <c r="C141" i="1"/>
  <c r="C140" i="1"/>
  <c r="F140" i="1"/>
  <c r="G140" i="1"/>
  <c r="H140" i="1"/>
  <c r="C139" i="1"/>
  <c r="F139" i="1"/>
  <c r="G139" i="1"/>
  <c r="H139" i="1"/>
  <c r="C138" i="1"/>
  <c r="C137" i="1"/>
  <c r="E137" i="1"/>
  <c r="C110" i="1"/>
  <c r="E110" i="1"/>
  <c r="C122" i="1"/>
  <c r="E122" i="1"/>
  <c r="C121" i="1"/>
  <c r="C116" i="1"/>
  <c r="C120" i="1"/>
  <c r="F120" i="1"/>
  <c r="G120" i="1"/>
  <c r="H120" i="1"/>
  <c r="C115" i="1"/>
  <c r="C119" i="1"/>
  <c r="C114" i="1"/>
  <c r="C118" i="1"/>
  <c r="C113" i="1"/>
  <c r="E113" i="1"/>
  <c r="C112" i="1"/>
  <c r="C111" i="1"/>
  <c r="F111" i="1"/>
  <c r="G111" i="1"/>
  <c r="H111" i="1"/>
  <c r="C109" i="1"/>
  <c r="E109" i="1"/>
  <c r="G92" i="13"/>
  <c r="G91" i="13"/>
  <c r="G89" i="13"/>
  <c r="G88" i="13"/>
  <c r="G84" i="13"/>
  <c r="G83" i="13"/>
  <c r="G81" i="13"/>
  <c r="G80" i="13"/>
  <c r="G79" i="13"/>
  <c r="G76" i="13"/>
  <c r="G75" i="13"/>
  <c r="G73" i="13"/>
  <c r="F92" i="1"/>
  <c r="I58" i="24"/>
  <c r="I57" i="24"/>
  <c r="G11" i="24"/>
  <c r="J11" i="24"/>
  <c r="H11" i="24"/>
  <c r="F11" i="24"/>
  <c r="F33" i="20"/>
  <c r="F32" i="20"/>
  <c r="F31" i="20"/>
  <c r="F30" i="20"/>
  <c r="F29" i="20"/>
  <c r="H28" i="20"/>
  <c r="F28" i="20"/>
  <c r="F27" i="20"/>
  <c r="F26" i="20"/>
  <c r="F25" i="20"/>
  <c r="F23" i="20"/>
  <c r="I22" i="20"/>
  <c r="F22" i="20"/>
  <c r="E33" i="20"/>
  <c r="E32" i="20"/>
  <c r="E29" i="20"/>
  <c r="E28" i="20"/>
  <c r="E27" i="20"/>
  <c r="E25" i="20"/>
  <c r="E24" i="20"/>
  <c r="E22" i="20"/>
  <c r="E21" i="20"/>
  <c r="D31" i="20"/>
  <c r="D30" i="20"/>
  <c r="D29" i="20"/>
  <c r="D27" i="20"/>
  <c r="D26" i="20"/>
  <c r="D25" i="20"/>
  <c r="D22" i="20"/>
  <c r="C33" i="20"/>
  <c r="C31" i="20"/>
  <c r="C30" i="20"/>
  <c r="C29" i="20"/>
  <c r="C28" i="20"/>
  <c r="C27" i="20"/>
  <c r="C26" i="20"/>
  <c r="C25" i="20"/>
  <c r="C24" i="20"/>
  <c r="C22" i="20"/>
  <c r="C21" i="20"/>
  <c r="I52" i="24"/>
  <c r="I51" i="24"/>
  <c r="I46" i="24"/>
  <c r="I45" i="24"/>
  <c r="I40" i="24"/>
  <c r="I39" i="24"/>
  <c r="I34" i="24"/>
  <c r="I33" i="24"/>
  <c r="I32" i="24"/>
  <c r="I31" i="24"/>
  <c r="I30" i="24"/>
  <c r="F23" i="24"/>
  <c r="G84" i="20"/>
  <c r="G83" i="20"/>
  <c r="F82" i="20"/>
  <c r="G73" i="20"/>
  <c r="F73" i="20"/>
  <c r="G72" i="20"/>
  <c r="F72" i="20"/>
  <c r="F71" i="20"/>
  <c r="C21" i="16"/>
  <c r="D21" i="16"/>
  <c r="C11" i="16"/>
  <c r="D11" i="16"/>
  <c r="E11" i="16"/>
  <c r="F11" i="16"/>
  <c r="C10" i="16"/>
  <c r="D10" i="16"/>
  <c r="E10" i="16"/>
  <c r="C9" i="16"/>
  <c r="D9" i="16"/>
  <c r="E9" i="16"/>
  <c r="C8" i="16"/>
  <c r="D8" i="16"/>
  <c r="E8" i="16"/>
  <c r="G13" i="1"/>
  <c r="H13" i="1"/>
  <c r="B104" i="1"/>
  <c r="H104" i="1"/>
  <c r="B22" i="16"/>
  <c r="C22" i="16"/>
  <c r="D22" i="16"/>
  <c r="E22" i="16"/>
  <c r="D15" i="16"/>
  <c r="C15" i="16"/>
  <c r="B17" i="16"/>
  <c r="C17" i="16"/>
  <c r="D17" i="16"/>
  <c r="E17" i="16"/>
  <c r="B16" i="16"/>
  <c r="C16" i="16"/>
  <c r="D16" i="16"/>
  <c r="E16" i="16"/>
  <c r="D7" i="16"/>
  <c r="E7" i="16"/>
  <c r="G10" i="1"/>
  <c r="G85" i="13"/>
  <c r="G82" i="13"/>
  <c r="G77" i="13"/>
  <c r="G74" i="13"/>
  <c r="F150" i="1"/>
  <c r="G150" i="1"/>
  <c r="H150" i="1"/>
  <c r="G145" i="1"/>
  <c r="H145" i="1"/>
  <c r="F142" i="1"/>
  <c r="G142" i="1"/>
  <c r="H142" i="1"/>
  <c r="F141" i="1"/>
  <c r="G141" i="1"/>
  <c r="H141" i="1"/>
  <c r="F138" i="1"/>
  <c r="F109" i="1"/>
  <c r="G109" i="1"/>
  <c r="H109" i="1"/>
  <c r="F121" i="1"/>
  <c r="G121" i="1"/>
  <c r="H121" i="1"/>
  <c r="F116" i="1"/>
  <c r="G116" i="1"/>
  <c r="H116" i="1"/>
  <c r="F114" i="1"/>
  <c r="G114" i="1"/>
  <c r="H114" i="1"/>
  <c r="F112" i="1"/>
  <c r="I75" i="1"/>
  <c r="I74" i="1"/>
  <c r="I68" i="1"/>
  <c r="E47" i="13"/>
  <c r="F47" i="13"/>
  <c r="F46" i="13"/>
  <c r="D29" i="13"/>
  <c r="F29" i="13"/>
  <c r="C29" i="13"/>
  <c r="E29" i="13"/>
  <c r="D28" i="13"/>
  <c r="F28" i="13"/>
  <c r="C28" i="13"/>
  <c r="E28" i="13"/>
  <c r="D27" i="13"/>
  <c r="C27" i="13"/>
  <c r="D25" i="13"/>
  <c r="F25" i="13"/>
  <c r="D26" i="13"/>
  <c r="F26" i="13"/>
  <c r="C26" i="13"/>
  <c r="E26" i="13"/>
  <c r="D24" i="13"/>
  <c r="C24" i="13"/>
  <c r="E24" i="13"/>
  <c r="D23" i="13"/>
  <c r="F23" i="13"/>
  <c r="C23" i="13"/>
  <c r="E23" i="13"/>
  <c r="D22" i="13"/>
  <c r="F22" i="13"/>
  <c r="C22" i="13"/>
  <c r="C25" i="13"/>
  <c r="E25" i="13"/>
  <c r="D21" i="13"/>
  <c r="C21" i="13"/>
  <c r="E21" i="13"/>
  <c r="H62" i="1"/>
  <c r="I62" i="1"/>
  <c r="H20" i="1"/>
  <c r="F29" i="1"/>
  <c r="E20" i="1"/>
  <c r="E21" i="1"/>
  <c r="E22" i="1"/>
  <c r="I29" i="1"/>
  <c r="H29" i="1"/>
  <c r="G29" i="1"/>
  <c r="E29" i="1"/>
  <c r="D29" i="1"/>
  <c r="F91" i="1"/>
  <c r="F93" i="1"/>
  <c r="F90" i="1"/>
  <c r="A57" i="13"/>
  <c r="F41" i="13"/>
  <c r="E41" i="13"/>
  <c r="F40" i="13"/>
  <c r="E40" i="13"/>
  <c r="F39" i="13"/>
  <c r="E39" i="13"/>
  <c r="F38" i="13"/>
  <c r="E38" i="13"/>
  <c r="F37" i="13"/>
  <c r="E37" i="13"/>
  <c r="F27" i="13"/>
  <c r="E27" i="13"/>
  <c r="F24" i="13"/>
  <c r="E22" i="13"/>
  <c r="F21" i="13"/>
  <c r="F13" i="13"/>
  <c r="E13" i="13"/>
  <c r="F12" i="13"/>
  <c r="E12" i="13"/>
  <c r="F11" i="13"/>
  <c r="G12" i="1"/>
  <c r="H12" i="1"/>
  <c r="B103" i="1"/>
  <c r="H103" i="1"/>
  <c r="G11" i="1"/>
  <c r="H11" i="1"/>
  <c r="B102" i="1"/>
  <c r="H102" i="1"/>
  <c r="H10" i="1"/>
  <c r="B101" i="1"/>
  <c r="H101" i="1"/>
  <c r="A97" i="1"/>
  <c r="G87" i="1"/>
  <c r="F87" i="1"/>
  <c r="F84" i="1"/>
  <c r="D84" i="1"/>
  <c r="G83" i="1"/>
  <c r="F83" i="1"/>
  <c r="G82" i="1"/>
  <c r="F82" i="1"/>
  <c r="F80" i="1"/>
  <c r="H23" i="1"/>
  <c r="H22" i="1"/>
  <c r="H21" i="1"/>
  <c r="D56" i="1"/>
  <c r="D55" i="1"/>
  <c r="F55" i="1"/>
  <c r="D54" i="1"/>
  <c r="F54" i="1"/>
  <c r="D53" i="1"/>
  <c r="F53" i="1"/>
  <c r="D47" i="1"/>
  <c r="F47" i="1"/>
  <c r="D46" i="1"/>
  <c r="F46" i="1"/>
  <c r="D45" i="1"/>
  <c r="E23" i="1"/>
  <c r="D10" i="1"/>
  <c r="E10" i="1"/>
  <c r="B129" i="1"/>
  <c r="H129" i="1"/>
  <c r="E19" i="10"/>
  <c r="E16" i="10"/>
  <c r="E13" i="10"/>
  <c r="E11" i="10"/>
  <c r="E157" i="10"/>
  <c r="E154" i="10"/>
  <c r="E151" i="10"/>
  <c r="E148" i="10"/>
  <c r="E145" i="10"/>
  <c r="E142" i="10"/>
  <c r="E139" i="10"/>
  <c r="E136" i="10"/>
  <c r="E133" i="10"/>
  <c r="E130" i="10"/>
  <c r="E127" i="10"/>
  <c r="E124" i="10"/>
  <c r="E121" i="10"/>
  <c r="E118" i="10"/>
  <c r="E115" i="10"/>
  <c r="E112" i="10"/>
  <c r="E109" i="10"/>
  <c r="E106" i="10"/>
  <c r="E103" i="10"/>
  <c r="E100" i="10"/>
  <c r="E97" i="10"/>
  <c r="E94" i="10"/>
  <c r="E91" i="10"/>
  <c r="E85" i="10"/>
  <c r="E82" i="10"/>
  <c r="E79" i="10"/>
  <c r="E76" i="10"/>
  <c r="E73" i="10"/>
  <c r="E70" i="10"/>
  <c r="E67" i="10"/>
  <c r="E64" i="10"/>
  <c r="E61" i="10"/>
  <c r="E58" i="10"/>
  <c r="E55" i="10"/>
  <c r="E52" i="10"/>
  <c r="E49" i="10"/>
  <c r="E46" i="10"/>
  <c r="E43" i="10"/>
  <c r="E40" i="10"/>
  <c r="E37" i="10"/>
  <c r="E34" i="10"/>
  <c r="E31" i="10"/>
  <c r="E28" i="10"/>
  <c r="E25" i="10"/>
  <c r="E22" i="10"/>
  <c r="C158" i="10"/>
  <c r="C155" i="10"/>
  <c r="C152" i="10"/>
  <c r="C149" i="10"/>
  <c r="C146" i="10"/>
  <c r="C143" i="10"/>
  <c r="C140" i="10"/>
  <c r="C137" i="10"/>
  <c r="C134" i="10"/>
  <c r="C131" i="10"/>
  <c r="C128" i="10"/>
  <c r="C125" i="10"/>
  <c r="C122" i="10"/>
  <c r="C119" i="10"/>
  <c r="C116" i="10"/>
  <c r="C113" i="10"/>
  <c r="C110" i="10"/>
  <c r="C107" i="10"/>
  <c r="C104" i="10"/>
  <c r="C101" i="10"/>
  <c r="C98" i="10"/>
  <c r="C95" i="10"/>
  <c r="C92" i="10"/>
  <c r="C89" i="10"/>
  <c r="C86" i="10"/>
  <c r="C83" i="10"/>
  <c r="C80" i="10"/>
  <c r="C77" i="10"/>
  <c r="C74" i="10"/>
  <c r="C68" i="10"/>
  <c r="C65" i="10"/>
  <c r="C62" i="10"/>
  <c r="C59" i="10"/>
  <c r="C56" i="10"/>
  <c r="C53" i="10"/>
  <c r="C50" i="10"/>
  <c r="C47" i="10"/>
  <c r="C44" i="10"/>
  <c r="C41" i="10"/>
  <c r="C38" i="10"/>
  <c r="C35" i="10"/>
  <c r="C32" i="10"/>
  <c r="C29" i="10"/>
  <c r="C26" i="10"/>
  <c r="C22" i="10"/>
  <c r="C19" i="10"/>
  <c r="C16" i="10"/>
  <c r="C13" i="10"/>
  <c r="C11" i="10"/>
  <c r="E7" i="10"/>
  <c r="C7" i="10"/>
  <c r="B52" i="1"/>
  <c r="C107" i="1"/>
  <c r="H73" i="1"/>
  <c r="H61" i="1"/>
  <c r="G61" i="1"/>
  <c r="H67" i="1"/>
  <c r="H19" i="1"/>
  <c r="H9" i="1"/>
  <c r="I61" i="1"/>
  <c r="G138" i="1"/>
  <c r="H138" i="1"/>
  <c r="E150" i="1"/>
  <c r="E142" i="1"/>
  <c r="E141" i="1"/>
  <c r="E138" i="1"/>
  <c r="G112" i="1"/>
  <c r="H112" i="1"/>
  <c r="E121" i="1"/>
  <c r="E116" i="1"/>
  <c r="E114" i="1"/>
  <c r="E112" i="1"/>
  <c r="D13" i="1"/>
  <c r="E13" i="1"/>
  <c r="B132" i="1"/>
  <c r="H132" i="1"/>
  <c r="D12" i="1"/>
  <c r="E12" i="1"/>
  <c r="B131" i="1"/>
  <c r="H131" i="1"/>
  <c r="D11" i="1"/>
  <c r="E11" i="1"/>
  <c r="B130" i="1"/>
  <c r="H130" i="1"/>
  <c r="F45" i="1"/>
  <c r="E26" i="11"/>
  <c r="E27" i="11"/>
  <c r="E25" i="11"/>
  <c r="F56" i="1"/>
  <c r="F44" i="1"/>
  <c r="E24" i="11"/>
  <c r="A125" i="1"/>
  <c r="F135" i="1"/>
  <c r="F107" i="1"/>
  <c r="I67" i="1"/>
  <c r="I73" i="1"/>
  <c r="D44" i="1"/>
  <c r="B44" i="1"/>
  <c r="E19" i="1"/>
  <c r="D9" i="1"/>
  <c r="G9" i="1"/>
  <c r="E9" i="1"/>
  <c r="H9" i="11"/>
  <c r="F9" i="11"/>
  <c r="D9" i="11"/>
  <c r="B9" i="11"/>
  <c r="F12" i="24"/>
  <c r="I11" i="24"/>
  <c r="C12" i="24"/>
  <c r="G12" i="24"/>
  <c r="J12" i="24"/>
  <c r="D12" i="24"/>
  <c r="B10" i="24"/>
  <c r="B18" i="24"/>
  <c r="I28" i="20"/>
  <c r="F151" i="1"/>
  <c r="G151" i="1"/>
  <c r="H151" i="1"/>
  <c r="F122" i="1"/>
  <c r="G122" i="1"/>
  <c r="H122" i="1"/>
  <c r="E111" i="1"/>
  <c r="E148" i="1"/>
  <c r="E140" i="1"/>
  <c r="I37" i="20"/>
  <c r="H37" i="20"/>
  <c r="B29" i="16"/>
  <c r="E29" i="16"/>
  <c r="F10" i="16"/>
  <c r="F146" i="1"/>
  <c r="G146" i="1"/>
  <c r="H146" i="1"/>
  <c r="E146" i="1"/>
  <c r="E143" i="1"/>
  <c r="F115" i="1"/>
  <c r="G115" i="1"/>
  <c r="H115" i="1"/>
  <c r="F143" i="1"/>
  <c r="G143" i="1"/>
  <c r="H143" i="1"/>
  <c r="G10" i="24"/>
  <c r="J10" i="24"/>
  <c r="L50" i="10"/>
  <c r="F10" i="20"/>
  <c r="C11" i="20"/>
  <c r="F53" i="10"/>
  <c r="H12" i="20"/>
  <c r="O56" i="10"/>
  <c r="D15" i="20"/>
  <c r="H65" i="10"/>
  <c r="G39" i="20"/>
  <c r="J39" i="20"/>
  <c r="H39" i="20"/>
  <c r="O137" i="10"/>
  <c r="F18" i="20"/>
  <c r="L74" i="10"/>
  <c r="H125" i="10"/>
  <c r="D37" i="20"/>
  <c r="E115" i="1"/>
  <c r="E139" i="1"/>
  <c r="O47" i="10"/>
  <c r="J50" i="10"/>
  <c r="F15" i="20"/>
  <c r="L65" i="10"/>
  <c r="D18" i="20"/>
  <c r="H74" i="10"/>
  <c r="B23" i="20"/>
  <c r="D89" i="10"/>
  <c r="O125" i="10"/>
  <c r="C38" i="20"/>
  <c r="F131" i="10"/>
  <c r="D149" i="10"/>
  <c r="D40" i="20"/>
  <c r="H149" i="10"/>
  <c r="F19" i="20"/>
  <c r="L77" i="10"/>
  <c r="D86" i="10"/>
  <c r="B22" i="20"/>
  <c r="F125" i="10"/>
  <c r="C37" i="20"/>
  <c r="D20" i="20"/>
  <c r="H80" i="10"/>
  <c r="H20" i="20"/>
  <c r="O80" i="10"/>
  <c r="B26" i="20"/>
  <c r="D98" i="10"/>
  <c r="F137" i="10"/>
  <c r="C39" i="20"/>
  <c r="J137" i="10"/>
  <c r="E39" i="20"/>
  <c r="F149" i="10"/>
  <c r="C40" i="20"/>
  <c r="D62" i="10"/>
  <c r="D92" i="10"/>
  <c r="B24" i="20"/>
  <c r="D104" i="10"/>
  <c r="B28" i="20"/>
  <c r="D113" i="10"/>
  <c r="B31" i="20"/>
  <c r="D119" i="10"/>
  <c r="B33" i="20"/>
  <c r="J125" i="10"/>
  <c r="E37" i="20"/>
  <c r="D131" i="10"/>
  <c r="B38" i="20"/>
  <c r="J131" i="10"/>
  <c r="E38" i="20"/>
  <c r="O131" i="10"/>
  <c r="G38" i="20"/>
  <c r="J38" i="20"/>
  <c r="I38" i="20"/>
  <c r="D137" i="10"/>
  <c r="B39" i="20"/>
  <c r="H137" i="10"/>
  <c r="D39" i="20"/>
  <c r="J149" i="10"/>
  <c r="E40" i="20"/>
  <c r="L149" i="10"/>
  <c r="F40" i="20"/>
  <c r="E18" i="20"/>
  <c r="D116" i="10"/>
  <c r="B32" i="20"/>
  <c r="D125" i="10"/>
  <c r="B37" i="20"/>
  <c r="H131" i="10"/>
  <c r="D38" i="20"/>
  <c r="L137" i="10"/>
  <c r="F39" i="20"/>
  <c r="E14" i="20"/>
  <c r="H62" i="10"/>
  <c r="D68" i="10"/>
  <c r="H68" i="10"/>
  <c r="D80" i="10"/>
  <c r="D83" i="10"/>
  <c r="B21" i="20"/>
  <c r="D95" i="10"/>
  <c r="B25" i="20"/>
  <c r="D101" i="10"/>
  <c r="B27" i="20"/>
  <c r="D107" i="10"/>
  <c r="B29" i="20"/>
  <c r="L125" i="10"/>
  <c r="F37" i="20"/>
  <c r="L131" i="10"/>
  <c r="O149" i="10"/>
  <c r="C19" i="20"/>
  <c r="E118" i="1"/>
  <c r="F118" i="1"/>
  <c r="G118" i="1"/>
  <c r="H118" i="1"/>
  <c r="E119" i="1"/>
  <c r="F119" i="1"/>
  <c r="G119" i="1"/>
  <c r="H119" i="1"/>
  <c r="H25" i="20"/>
  <c r="I25" i="20"/>
  <c r="H29" i="20"/>
  <c r="I29" i="20"/>
  <c r="I21" i="20"/>
  <c r="H21" i="20"/>
  <c r="I23" i="20"/>
  <c r="H23" i="20"/>
  <c r="H33" i="20"/>
  <c r="I33" i="20"/>
  <c r="H31" i="20"/>
  <c r="I31" i="20"/>
  <c r="H38" i="20"/>
  <c r="I20" i="20"/>
  <c r="I39" i="20"/>
  <c r="F8" i="16"/>
  <c r="B27" i="16"/>
  <c r="E27" i="16"/>
  <c r="F9" i="20"/>
  <c r="F10" i="24"/>
  <c r="F18" i="24"/>
  <c r="L47" i="10"/>
  <c r="O146" i="10"/>
  <c r="J40" i="20"/>
  <c r="F130" i="1"/>
  <c r="D130" i="1"/>
  <c r="D101" i="1"/>
  <c r="F101" i="1"/>
  <c r="B28" i="16"/>
  <c r="E28" i="16"/>
  <c r="F9" i="16"/>
  <c r="C12" i="20"/>
  <c r="F56" i="10"/>
  <c r="C11" i="24"/>
  <c r="F131" i="1"/>
  <c r="D131" i="1"/>
  <c r="D102" i="1"/>
  <c r="F102" i="1"/>
  <c r="D10" i="20"/>
  <c r="H50" i="10"/>
  <c r="H13" i="20"/>
  <c r="I13" i="20"/>
  <c r="D17" i="20"/>
  <c r="H71" i="10"/>
  <c r="F103" i="1"/>
  <c r="D103" i="1"/>
  <c r="C29" i="16"/>
  <c r="D29" i="16"/>
  <c r="J68" i="10"/>
  <c r="E16" i="20"/>
  <c r="I27" i="20"/>
  <c r="H27" i="20"/>
  <c r="H9" i="20"/>
  <c r="I9" i="20"/>
  <c r="E15" i="20"/>
  <c r="J65" i="10"/>
  <c r="E12" i="24"/>
  <c r="D132" i="1"/>
  <c r="F132" i="1"/>
  <c r="F129" i="1"/>
  <c r="D129" i="1"/>
  <c r="I24" i="20"/>
  <c r="H24" i="20"/>
  <c r="D50" i="10"/>
  <c r="E11" i="20"/>
  <c r="J53" i="10"/>
  <c r="I12" i="24"/>
  <c r="H12" i="24"/>
  <c r="D104" i="1"/>
  <c r="F104" i="1"/>
  <c r="B9" i="20"/>
  <c r="D47" i="10"/>
  <c r="O50" i="10"/>
  <c r="C13" i="20"/>
  <c r="F59" i="10"/>
  <c r="F16" i="20"/>
  <c r="L68" i="10"/>
  <c r="H77" i="10"/>
  <c r="D19" i="20"/>
  <c r="F113" i="1"/>
  <c r="G113" i="1"/>
  <c r="H113" i="1"/>
  <c r="H22" i="20"/>
  <c r="E149" i="1"/>
  <c r="D28" i="20"/>
  <c r="F147" i="1"/>
  <c r="G147" i="1"/>
  <c r="H147" i="1"/>
  <c r="E147" i="1"/>
  <c r="C10" i="20"/>
  <c r="F50" i="10"/>
  <c r="L83" i="10"/>
  <c r="F21" i="20"/>
  <c r="H92" i="10"/>
  <c r="D24" i="20"/>
  <c r="L134" i="10"/>
  <c r="E9" i="20"/>
  <c r="J47" i="10"/>
  <c r="D12" i="20"/>
  <c r="H56" i="10"/>
  <c r="H116" i="10"/>
  <c r="D32" i="20"/>
  <c r="E120" i="1"/>
  <c r="E10" i="24"/>
  <c r="E18" i="24"/>
  <c r="B30" i="16"/>
  <c r="E30" i="16"/>
  <c r="C117" i="1"/>
  <c r="O53" i="10"/>
  <c r="J59" i="10"/>
  <c r="O59" i="10"/>
  <c r="O62" i="10"/>
  <c r="E17" i="20"/>
  <c r="J71" i="10"/>
  <c r="J89" i="10"/>
  <c r="E23" i="20"/>
  <c r="H119" i="10"/>
  <c r="D33" i="20"/>
  <c r="F122" i="10"/>
  <c r="D128" i="10"/>
  <c r="L146" i="10"/>
  <c r="C18" i="20"/>
  <c r="F74" i="10"/>
  <c r="J80" i="10"/>
  <c r="E20" i="20"/>
  <c r="J113" i="10"/>
  <c r="E31" i="20"/>
  <c r="O116" i="10"/>
  <c r="F110" i="1"/>
  <c r="G110" i="1"/>
  <c r="H110" i="1"/>
  <c r="C29" i="1"/>
  <c r="F137" i="1"/>
  <c r="G137" i="1"/>
  <c r="H137" i="1"/>
  <c r="G86" i="13"/>
  <c r="C9" i="20"/>
  <c r="C10" i="24"/>
  <c r="C18" i="24"/>
  <c r="B11" i="24"/>
  <c r="D56" i="10"/>
  <c r="C14" i="20"/>
  <c r="F62" i="10"/>
  <c r="D65" i="10"/>
  <c r="L71" i="10"/>
  <c r="D77" i="10"/>
  <c r="C20" i="20"/>
  <c r="F80" i="10"/>
  <c r="J110" i="10"/>
  <c r="E30" i="20"/>
  <c r="I16" i="20"/>
  <c r="E144" i="1"/>
  <c r="E12" i="20"/>
  <c r="E11" i="24"/>
  <c r="D13" i="20"/>
  <c r="H59" i="10"/>
  <c r="F14" i="20"/>
  <c r="L62" i="10"/>
  <c r="L92" i="10"/>
  <c r="F24" i="20"/>
  <c r="F116" i="10"/>
  <c r="C32" i="20"/>
  <c r="H11" i="20"/>
  <c r="I11" i="20"/>
  <c r="H14" i="20"/>
  <c r="I14" i="20"/>
  <c r="F71" i="10"/>
  <c r="C17" i="20"/>
  <c r="H83" i="10"/>
  <c r="D21" i="20"/>
  <c r="F11" i="20"/>
  <c r="L53" i="10"/>
  <c r="F13" i="20"/>
  <c r="L59" i="10"/>
  <c r="O98" i="10"/>
  <c r="D9" i="20"/>
  <c r="H47" i="10"/>
  <c r="O65" i="10"/>
  <c r="O77" i="10"/>
  <c r="H89" i="10"/>
  <c r="C23" i="20"/>
  <c r="J98" i="10"/>
  <c r="E26" i="20"/>
  <c r="D71" i="10"/>
  <c r="I12" i="20"/>
  <c r="E19" i="20"/>
  <c r="J77" i="10"/>
  <c r="F12" i="20"/>
  <c r="L56" i="10"/>
  <c r="F20" i="20"/>
  <c r="L80" i="10"/>
  <c r="O74" i="10"/>
  <c r="H10" i="24"/>
  <c r="I10" i="24"/>
  <c r="C30" i="16"/>
  <c r="D30" i="16"/>
  <c r="H40" i="20"/>
  <c r="I40" i="20"/>
  <c r="E78" i="20"/>
  <c r="E77" i="20"/>
  <c r="D28" i="16"/>
  <c r="C28" i="16"/>
  <c r="D77" i="20"/>
  <c r="D78" i="20"/>
  <c r="H15" i="20"/>
  <c r="I15" i="20"/>
  <c r="H10" i="20"/>
  <c r="I10" i="20"/>
  <c r="F78" i="20"/>
  <c r="F77" i="20"/>
  <c r="H26" i="20"/>
  <c r="I26" i="20"/>
  <c r="C77" i="20"/>
  <c r="C78" i="20"/>
  <c r="H32" i="20"/>
  <c r="I32" i="20"/>
  <c r="E117" i="1"/>
  <c r="F117" i="1"/>
  <c r="G117" i="1"/>
  <c r="H117" i="1"/>
  <c r="C27" i="16"/>
  <c r="D27" i="16"/>
  <c r="H19" i="20"/>
  <c r="I19" i="20"/>
  <c r="H18" i="20"/>
  <c r="I18" i="20"/>
  <c r="H17" i="20"/>
  <c r="I17" i="20"/>
  <c r="I30" i="20"/>
  <c r="H30" i="20"/>
  <c r="B78" i="20"/>
  <c r="B77" i="20"/>
  <c r="G90" i="13"/>
  <c r="G78" i="13"/>
  <c r="G87" i="13"/>
  <c r="H10" i="32"/>
  <c r="I11" i="32"/>
</calcChain>
</file>

<file path=xl/sharedStrings.xml><?xml version="1.0" encoding="utf-8"?>
<sst xmlns="http://schemas.openxmlformats.org/spreadsheetml/2006/main" count="1048" uniqueCount="455">
  <si>
    <t>Basisløntrin</t>
  </si>
  <si>
    <t>0 år</t>
  </si>
  <si>
    <t>8 år</t>
  </si>
  <si>
    <t>12 år</t>
  </si>
  <si>
    <t>Lærere</t>
  </si>
  <si>
    <t>Børnehaveklasseledere</t>
  </si>
  <si>
    <t>Lærere og børnehaveklasseledere</t>
  </si>
  <si>
    <t>sats III</t>
  </si>
  <si>
    <t>sats IV</t>
  </si>
  <si>
    <t>sats VI</t>
  </si>
  <si>
    <t>sats V</t>
  </si>
  <si>
    <t>Undervisningstillæg beregnes pr. undervisningstime</t>
  </si>
  <si>
    <t>Årligt timetal</t>
  </si>
  <si>
    <t>Undervisningstillæg</t>
  </si>
  <si>
    <t>Kr. pr. skemalagt undervisningstime á 60 minutter</t>
  </si>
  <si>
    <t>Månedsløn</t>
  </si>
  <si>
    <t>Arbejdstidsbestemte tillæg i tilfælde, der ikke er omfattet af aftalen om ulempegodtgørelse:</t>
  </si>
  <si>
    <t xml:space="preserve"> </t>
  </si>
  <si>
    <t>- tredelt tjeneste (pr. dag)</t>
  </si>
  <si>
    <t>- for delt tjeneste ud over 11 timer (pr. time)</t>
  </si>
  <si>
    <t>Løntabel for</t>
  </si>
  <si>
    <t>Pensionsgivende løn</t>
  </si>
  <si>
    <t>1/3 egetbidrag</t>
  </si>
  <si>
    <t>2/3 arbejdsgiverbidrag</t>
  </si>
  <si>
    <t>I alt</t>
  </si>
  <si>
    <t>Pensionsgivende løn, grundbeløb</t>
  </si>
  <si>
    <t>Pensionsgivende løn pr.</t>
  </si>
  <si>
    <t>Generelle satser:</t>
  </si>
  <si>
    <t>Reguleringsfaktor</t>
  </si>
  <si>
    <t>Dato</t>
  </si>
  <si>
    <t>%</t>
  </si>
  <si>
    <t>Gældende sats pr.</t>
  </si>
  <si>
    <t>Historiske satser</t>
  </si>
  <si>
    <t xml:space="preserve">Løntabellen er gældende fra </t>
  </si>
  <si>
    <t>Reguleringsfaktoren blev nulstillet 31.03.2012, hvorefter der blev beregnet nye grundbeløb</t>
  </si>
  <si>
    <t xml:space="preserve">denne faktor gælder frem til </t>
  </si>
  <si>
    <t>27/37 og derover</t>
  </si>
  <si>
    <t>Lønmodtager</t>
  </si>
  <si>
    <t>Arbejdsgiver</t>
  </si>
  <si>
    <t>Beskæftigelsesgrad pr. uge</t>
  </si>
  <si>
    <t>Antal år</t>
  </si>
  <si>
    <t>25 år</t>
  </si>
  <si>
    <t>40 år</t>
  </si>
  <si>
    <t>50 år</t>
  </si>
  <si>
    <t>Pr.</t>
  </si>
  <si>
    <t>000-649,99</t>
  </si>
  <si>
    <t>650-699,99</t>
  </si>
  <si>
    <t>700-749,99</t>
  </si>
  <si>
    <t>750-</t>
  </si>
  <si>
    <t>000-749,99</t>
  </si>
  <si>
    <t>750-799.99</t>
  </si>
  <si>
    <t>800-834,99</t>
  </si>
  <si>
    <t>835-</t>
  </si>
  <si>
    <t>4 år</t>
  </si>
  <si>
    <t>II</t>
  </si>
  <si>
    <t>III</t>
  </si>
  <si>
    <t>IV</t>
  </si>
  <si>
    <t>V</t>
  </si>
  <si>
    <t>VI</t>
  </si>
  <si>
    <t>Skalatrin</t>
  </si>
  <si>
    <t>Udbetaling pr. dag med fuldt fradrag</t>
  </si>
  <si>
    <t>Transportgodtgørelse - satser</t>
  </si>
  <si>
    <t>Særlig bemyndigelse, kørsel med bil *</t>
  </si>
  <si>
    <t>Praktikaflønning - satser</t>
  </si>
  <si>
    <t>Praktiktime á 45 min.</t>
  </si>
  <si>
    <t>Honorar - aleneperiode</t>
  </si>
  <si>
    <t>Dagpengesatser</t>
  </si>
  <si>
    <t>Dagpengesats fuldtidsforsikrede</t>
  </si>
  <si>
    <t>Dagpengesats deltidsforsikrede</t>
  </si>
  <si>
    <t>kr.</t>
  </si>
  <si>
    <t>Gruppeliv</t>
  </si>
  <si>
    <t>Månedligt tillæg for alle lærere, bh.kl. ledere og skoleledere</t>
  </si>
  <si>
    <t>Timelønnede vikarer</t>
  </si>
  <si>
    <t>Uddannede lærere og bh.kl. ledere</t>
  </si>
  <si>
    <t>Undervisningsopgaver kr. pr. time</t>
  </si>
  <si>
    <t>Andre vikarer</t>
  </si>
  <si>
    <t>Ikke undervisningsopg. kr. pr. time</t>
  </si>
  <si>
    <t>Stedtillægsområder:</t>
  </si>
  <si>
    <t>Sats II</t>
  </si>
  <si>
    <t>Sats III</t>
  </si>
  <si>
    <t>Sats IV</t>
  </si>
  <si>
    <t>Sats V</t>
  </si>
  <si>
    <t>Sats VI</t>
  </si>
  <si>
    <t>Køge, Lejre, Roskilde, Solrød, Århus.</t>
  </si>
  <si>
    <t>Allerød, Fredensborg, Frederikssund, Frederiksværk-Hundested, Gribskov, Helsingør, Hillerød, Hørsholm.</t>
  </si>
  <si>
    <t>for ansatte på de frie grundskoler</t>
  </si>
  <si>
    <t xml:space="preserve">Løntabeller </t>
  </si>
  <si>
    <t xml:space="preserve">Deutsche Schul- und Sprachverein </t>
  </si>
  <si>
    <t>Dansk Friskoleforening</t>
  </si>
  <si>
    <t>Foreningen af Kristne Friskoler</t>
  </si>
  <si>
    <t>pr. år</t>
  </si>
  <si>
    <t>pr. måned</t>
  </si>
  <si>
    <t>Lærernes pension</t>
  </si>
  <si>
    <t>P25/Efterlønskassen</t>
  </si>
  <si>
    <t>Pensionsbidrag for børnehaveklasseledere pr.</t>
  </si>
  <si>
    <t>Pensionsbidrag for lærere pr.</t>
  </si>
  <si>
    <t>Kr.</t>
  </si>
  <si>
    <t>Pensionsbidrag</t>
  </si>
  <si>
    <t>Anciennitet</t>
  </si>
  <si>
    <t>Pensions-    bidrag</t>
  </si>
  <si>
    <t>År</t>
  </si>
  <si>
    <t xml:space="preserve">Måned </t>
  </si>
  <si>
    <t>Grundbeløb</t>
  </si>
  <si>
    <t xml:space="preserve">Grundbeløb </t>
  </si>
  <si>
    <t>Grundbeløb årligt</t>
  </si>
  <si>
    <t>Grundbeløb pr. mdr.</t>
  </si>
  <si>
    <t>Basis-         løntrin</t>
  </si>
  <si>
    <t>Beløb pr.</t>
  </si>
  <si>
    <t>Basis-            løntrin</t>
  </si>
  <si>
    <t xml:space="preserve">Mindre end 27/37 men mindst 18/37  </t>
  </si>
  <si>
    <t xml:space="preserve">Mindre end 18/37 men mindst 9/37    </t>
  </si>
  <si>
    <t xml:space="preserve">Under 9/37   </t>
  </si>
  <si>
    <t>Ledere ved frie grundskoler</t>
  </si>
  <si>
    <t>Lønintervaller for skoleledere</t>
  </si>
  <si>
    <t>Basis II 31/03/12</t>
  </si>
  <si>
    <t>Basis III 31/03/12</t>
  </si>
  <si>
    <t>Basis IV 31/03/12</t>
  </si>
  <si>
    <t>Basis V 31/03/12</t>
  </si>
  <si>
    <t>Basis VI 31/03/12</t>
  </si>
  <si>
    <t>Pensg.løn 31/03/12</t>
  </si>
  <si>
    <t>Pens.giv. løn</t>
  </si>
  <si>
    <t>Antal elever</t>
  </si>
  <si>
    <t>000-99</t>
  </si>
  <si>
    <t>100-349</t>
  </si>
  <si>
    <t>350 -</t>
  </si>
  <si>
    <t>Lønintervaller kostskoleledere</t>
  </si>
  <si>
    <t>Antal kostelever</t>
  </si>
  <si>
    <t>0-99</t>
  </si>
  <si>
    <t>0-24</t>
  </si>
  <si>
    <t>00-99</t>
  </si>
  <si>
    <t>25-59</t>
  </si>
  <si>
    <t>60 -</t>
  </si>
  <si>
    <t>Viceinspektører og viceafd.direktører</t>
  </si>
  <si>
    <t>00-349</t>
  </si>
  <si>
    <t>Afdelingsledere</t>
  </si>
  <si>
    <t>For ansatte omfattet af en tjenestemandslignende pensionsordning udgør pensionstilsvaret 15% af den pensionsgivende løn på det skalatrin, hvor skalatrinslønnen er lig med eller nærmest under den aftalte løn.</t>
  </si>
  <si>
    <t>Eksempel 1:</t>
  </si>
  <si>
    <t>Eksempel 2:</t>
  </si>
  <si>
    <t>Generelle satser</t>
  </si>
  <si>
    <t>Forhøjelse af top/bund</t>
  </si>
  <si>
    <t>Der tages forbehold for eventuelle fejl</t>
  </si>
  <si>
    <t>Grundbeløb pr. år</t>
  </si>
  <si>
    <t>Lønintervaller for viceskoleinspektører, afdelingsledere, afdelingsinspektører samt viceafdelingsinspektører</t>
  </si>
  <si>
    <t>Afdelingsinspektører v/ private gymnasier, grundskole</t>
  </si>
  <si>
    <t>Pensionsbidrag for skoleledere, viceskoleinspektører, afdelingsinspektører, viceafdelingsinspektører og afdelingsledere</t>
  </si>
  <si>
    <t>Almindelig godkendt kørsel med bil</t>
  </si>
  <si>
    <t>Danmark</t>
  </si>
  <si>
    <t>Udlandet</t>
  </si>
  <si>
    <t>Ureduceret sats</t>
  </si>
  <si>
    <t>Skalatrin for skygge-forløb</t>
  </si>
  <si>
    <t>Esbjerg, Frederikshavn, Faaborg-Midtfyn, Kalundborg, Kerteminde, Nyborg, Næstved, Odense, Skanderborg, Slagelse, Sønderborg, Aalborg.</t>
  </si>
  <si>
    <t>Grundløntrin</t>
  </si>
  <si>
    <t>Timeløn</t>
  </si>
  <si>
    <t>reguleret</t>
  </si>
  <si>
    <t>0-4 år</t>
  </si>
  <si>
    <t>&gt; 9 år</t>
  </si>
  <si>
    <t>1. års elev</t>
  </si>
  <si>
    <t>2. års elev</t>
  </si>
  <si>
    <t>Grundbeløbet er pr. 1 april 2013 forhøjet med 0,26%. Denne forhøjelse er sket som en forhøjelse af grundbeløbet i niveau 31. marts 2012.</t>
  </si>
  <si>
    <t>Ved forhøjelsen er det tidligere grundbeløb forhøjet med 0,26% og efterfølgende afrundet til nærmeste hele 10 kr., hvorved det nye grundbeløb er fremkommet.</t>
  </si>
  <si>
    <t>Timelønnen udregnes som 1/1672 af en årsløn på det pågældende grundtrin - dette jf. OK § 10.  Dette afviger fra praksis på øvrige områder, hvor der regnes med 1/1924.</t>
  </si>
  <si>
    <t>Sekretærer, IT-medarbejdere og andre administrative medarbejdere, der har tilsluttet sig Landsoverenskomst 2013-2015 mellem Lilleskolerne og HK/Privat</t>
  </si>
  <si>
    <t>5-8 år</t>
  </si>
  <si>
    <t>&gt; 12 år</t>
  </si>
  <si>
    <t xml:space="preserve">Basisløn for sekretærer, IT-medarbejdere og andre adm. Medarbejdere </t>
  </si>
  <si>
    <t>Aflønning af elever (under 25 år)</t>
  </si>
  <si>
    <t>Aflønning af elever (over 25 år)</t>
  </si>
  <si>
    <t>Månedligt tillæg for sekretærer, IT-medarbejdere og andre administrative medarbejdere under Landsoverenskomst mellem Lilleskolerne og HK/Privat</t>
  </si>
  <si>
    <t>PensionDanmark (eller andet godkendt selskab)</t>
  </si>
  <si>
    <t>Gruppelivspræmie øvrige ansatte (Aftale nr. 26001) - sats gældende fra 01/01/2015</t>
  </si>
  <si>
    <t>Timelønnede pædagoger</t>
  </si>
  <si>
    <t>Ikke uddannede pædagoger</t>
  </si>
  <si>
    <t>Uddannede pædagoger</t>
  </si>
  <si>
    <t>Alder</t>
  </si>
  <si>
    <t>16-årige</t>
  </si>
  <si>
    <t>17-årige</t>
  </si>
  <si>
    <t>Praktikstuderende</t>
  </si>
  <si>
    <t>Pr. måned</t>
  </si>
  <si>
    <t>Godtgørelse for 2-delt tjeneste:</t>
  </si>
  <si>
    <t>Godtgørelse for 3-delt tjeneste:</t>
  </si>
  <si>
    <t>Godtgørelse for omlagt tjeneste:</t>
  </si>
  <si>
    <t>Pr. arbejdstime - 60 minutter</t>
  </si>
  <si>
    <t>Tillæg</t>
  </si>
  <si>
    <t>Godtgørelse for tjeneste på søn- og helligdage</t>
  </si>
  <si>
    <t>pr. time</t>
  </si>
  <si>
    <t>pr. dag</t>
  </si>
  <si>
    <t>Pædagogisk personale</t>
  </si>
  <si>
    <t>Pensionsbidrag pr. måned</t>
  </si>
  <si>
    <t>20+t</t>
  </si>
  <si>
    <t xml:space="preserve">Timelønnede: </t>
  </si>
  <si>
    <t xml:space="preserve">Pr. arbejdstime </t>
  </si>
  <si>
    <t>Arbedstidsbestemte tillæg</t>
  </si>
  <si>
    <t>Natpenge for tjeneste i tiden 17 - 06</t>
  </si>
  <si>
    <t>Godtgørelse for tjeneste lørdage efter kl. 14</t>
  </si>
  <si>
    <t>Godtgørelse for tjeneste mandage kl. 00-04 samt hverdage efter skæve helligdage</t>
  </si>
  <si>
    <t>Hovedrengøringstillæg</t>
  </si>
  <si>
    <t>Alm. Hovedrengøring + afsluttende rengøring efter håndværkere</t>
  </si>
  <si>
    <t>Arbejdstøjstillæg</t>
  </si>
  <si>
    <t>Funktionstillæg (pensionsgivende)</t>
  </si>
  <si>
    <t>Evt. funktionstillæg</t>
  </si>
  <si>
    <r>
      <t xml:space="preserve">Der kan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</si>
  <si>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Årligt</t>
  </si>
  <si>
    <t>Til alle på trin 20 ydes tillæg</t>
  </si>
  <si>
    <t>Pensionsbidrag pr. måned pæd.pers.</t>
  </si>
  <si>
    <t>Pensionsbidrag pr. måned afd.ledere</t>
  </si>
  <si>
    <t>Dispositionstillæg</t>
  </si>
  <si>
    <t xml:space="preserve">Pensions-givende løn </t>
  </si>
  <si>
    <t>Pension-givende løn</t>
  </si>
  <si>
    <t>Månedligt tillæg for øvrige ansatte (omfatter ikke pædagogisk personale med pension i PBU og Pension Danmark)</t>
  </si>
  <si>
    <t>Eget-          bidrag</t>
  </si>
  <si>
    <t xml:space="preserve">Arbejds-         giverbidrag </t>
  </si>
  <si>
    <t>Historiske satser - reguleringsprocent</t>
  </si>
  <si>
    <t xml:space="preserve">Arbejds-              giverbidrag </t>
  </si>
  <si>
    <t>Eget-       bidrag</t>
  </si>
  <si>
    <t>Rengøringsassistenter, køkkenmedarbejdere, chauffører, tekniske servicemedarbejdere og tekniske serviceledere</t>
  </si>
  <si>
    <t>Tillægget ydes i form af frit arbejdstøj el årligt tillæg på min:</t>
  </si>
  <si>
    <t>Timelønnede</t>
  </si>
  <si>
    <t>afløsere</t>
  </si>
  <si>
    <t>15 årige</t>
  </si>
  <si>
    <t>16 årige</t>
  </si>
  <si>
    <t>17 årige</t>
  </si>
  <si>
    <t>Unge under 18 år</t>
  </si>
  <si>
    <t>Mindste timeløn for</t>
  </si>
  <si>
    <t>Administrativt personale</t>
  </si>
  <si>
    <t>Rengøringspersonale</t>
  </si>
  <si>
    <t>Tillæg for arbejde lørdage, søndage og helligdage</t>
  </si>
  <si>
    <t>Tillæg for ungarbejdere for arbejde kl. 17-07</t>
  </si>
  <si>
    <t>Tillæg for arbejde mellem kl. 17-24</t>
  </si>
  <si>
    <t>Tillæg for arbejde mellem kl. 24-06</t>
  </si>
  <si>
    <t>Heraf anses 1/3 som medarbejderens eget bidrag og 2/3 som arbejdsgiverbidrag. Arbejdsgiver betaler det fulde pensionsbidrag.</t>
  </si>
  <si>
    <t>Funktionstillæg - administrativt personale</t>
  </si>
  <si>
    <t>Funktion</t>
  </si>
  <si>
    <t>Elevadministration</t>
  </si>
  <si>
    <t>Ansøgning af tilskud</t>
  </si>
  <si>
    <t>Regnskab/budget</t>
  </si>
  <si>
    <t>Løn- og personaleadministration</t>
  </si>
  <si>
    <t>Personaleledelse</t>
  </si>
  <si>
    <t>Lidt</t>
  </si>
  <si>
    <t>Meget</t>
  </si>
  <si>
    <t>Noget</t>
  </si>
  <si>
    <t>Funktionstillæg - teknisk servicepersonale</t>
  </si>
  <si>
    <t>Budget</t>
  </si>
  <si>
    <t>Håndværksfaglig</t>
  </si>
  <si>
    <t>Alarm</t>
  </si>
  <si>
    <t>Projektledelse</t>
  </si>
  <si>
    <t>Mindsteløn for</t>
  </si>
  <si>
    <t>Teknisk servicepersonale</t>
  </si>
  <si>
    <t>Godtgørelse for tjeneste i tidsrummet kl. 17-06</t>
  </si>
  <si>
    <t>Rengøringsarbejdere, teknisk servicepersonale, chauffører og administrativt personale</t>
  </si>
  <si>
    <t>gældende for perioden 1. april 2015- 31. marts 2016</t>
  </si>
  <si>
    <t>Ledelses- og koordineringsopgaver pr. praktiktime og pr. uv-time for hver deltagende lærerstuderende</t>
  </si>
  <si>
    <t>Time</t>
  </si>
  <si>
    <t>Månedsløn (reguleret)</t>
  </si>
  <si>
    <t>Funktionstillæg</t>
  </si>
  <si>
    <t>Overenskomsttillæg pr. 1. august 2015</t>
  </si>
  <si>
    <t xml:space="preserve">Gruppelivspræmie (Aftale FG nr. 85034)    </t>
  </si>
  <si>
    <t>Gruppelivspræmie øvrige ansatte (Aftale FG nr. 26001)</t>
  </si>
  <si>
    <t>Gruppelivspræmie øvrige ansatte (Aftale Willis)</t>
  </si>
  <si>
    <t xml:space="preserve">Ved afskedigelse betales G-dage efter ovennævnte satser. </t>
  </si>
  <si>
    <t>Til alle på trin 14 ydes tillæg</t>
  </si>
  <si>
    <t>14+t</t>
  </si>
  <si>
    <t>Måned</t>
  </si>
  <si>
    <t>Pensions-bidrag</t>
  </si>
  <si>
    <t>2/3 arb.giver-bidrag</t>
  </si>
  <si>
    <t>Time-interval</t>
  </si>
  <si>
    <t xml:space="preserve">Pens.giv. løn </t>
  </si>
  <si>
    <t>DENNE LØNTABEL GÆLDER ALENE FOR ANSATTE UNDER OK MELLEM KRIFA OG FORENINGEN AF KRISTNE FRISKOLER</t>
  </si>
  <si>
    <t>Samlet lønregulering</t>
  </si>
  <si>
    <t>Procent</t>
  </si>
  <si>
    <t>(i alt 5,5% fordelt over en  3-årig periode)</t>
  </si>
  <si>
    <r>
      <rPr>
        <b/>
        <sz val="11"/>
        <rFont val="Arial"/>
        <family val="2"/>
      </rPr>
      <t>Pension</t>
    </r>
    <r>
      <rPr>
        <sz val="11"/>
        <rFont val="Arial"/>
        <family val="2"/>
      </rPr>
      <t>: beregnes af bruttoindkomst og det samlede pensionsbidrag udgør for hele overenskomstperioden: 17,3%</t>
    </r>
  </si>
  <si>
    <t>Godtgørelse for tjenestehverdage efter søgnehellligdage kl. 00-06</t>
  </si>
  <si>
    <t>Assens, Billund, Bornholm, Brønderslev-Dronninglund, Fanø, Favrskov, Faxe, Fredericia, Guldborgsund, Haderslev, Hedensted, Herning, Hjørring, Holbæk, Holstebro, Horsens, Ikast-Brande, Jammerbugt, Kolding, Langeland, Lemvig, Lolland, Læsø, Mariagerfjord, Middelfart, Morsø, Norddjurs, Nordfyn, Odder, Odsherred, Randers, Rebild, Ringkøbing-Skjern, Ringsted, Samsø, Silkeborg, Skive, Sorø, Stevns, Struer, Svendborg, Syddjurs, Thisted, Tønder, Varde, Vejen, Vejle, Vesthimmerland, Viborg, Vordingborg, Ærø, Aabenraa.</t>
  </si>
  <si>
    <t>DENNE LØNTABEL GÆLDER ALENE ANSATTE OK MELLEM                                                                                                      3F og følgende skoleforeninger: Lilleskolerne samt Deutsche Schul- und sprachverein</t>
  </si>
  <si>
    <t>Tillæggene på trin 14 og 20 er pensionsgivende</t>
  </si>
  <si>
    <t>Time- dagpenge</t>
  </si>
  <si>
    <t>Vejledende beregning af undervisningstillæg til lærere og bh.kl. Ledere</t>
  </si>
  <si>
    <t>Se oversigt over de forskellige områder under fanen: generelle satser</t>
  </si>
  <si>
    <t>Supplerende pension:</t>
  </si>
  <si>
    <t>Opmærksomheden henledes på ansatte med ret til tjenestemandspension.</t>
  </si>
  <si>
    <t xml:space="preserve">Ansatte med ret til tjenestemandspension, skal have supplerende pension i Lærernes Pension på 18% for lønddele, der overstiger slutskalatrin incl. 2 ekstra trin. For lærere: Skalatrin 42, for bhkl.ledere: trin 33. </t>
  </si>
  <si>
    <t>Som supplement til den tjenestemandslignende pensionsordning kan det aftales, at forskellen mellem den pensionsgivende løn og den aftalte intervalløn hel eller delvist gøres pensionsgivende. Af denne del indbetales 17,3% som pensionsbidrag til Lærernes Pension. Såfremt den aftalte intervalløn overstiger den maksimale pensionsgivende løn på slutskalatrin incl. 2 ekstra trin, indbetales der for denne del 18,00% som pensionsbidrag til Lærernes Pension.</t>
  </si>
  <si>
    <t>Ordninger under 30 børn:</t>
  </si>
  <si>
    <t>Uddannede pædagoer</t>
  </si>
  <si>
    <t>Anderledes pæd. Uddannede(Lukket gruppe)</t>
  </si>
  <si>
    <t>Ikke pædagoguddannede</t>
  </si>
  <si>
    <t>Ikke pædagoguddannede med PGU eller PAU</t>
  </si>
  <si>
    <t>27, 29, 31, 33, 36</t>
  </si>
  <si>
    <t>20, 23, 25, 27, 29, 31, 33, 36</t>
  </si>
  <si>
    <t>14, 15, 16, 17, 19</t>
  </si>
  <si>
    <t>20, 21, 24, 25, 27</t>
  </si>
  <si>
    <t>Pædagoguddannede</t>
  </si>
  <si>
    <t>Plus 2 trin</t>
  </si>
  <si>
    <t>Plus 6 trin</t>
  </si>
  <si>
    <t>Antal ekstra skalatrin i forhold til ordninger med daglig leder</t>
  </si>
  <si>
    <t>aftalt.</t>
  </si>
  <si>
    <t xml:space="preserve">For løndele under slutskalatrin incl. 2 skalatrin skal supplerende pension indbetales med 17,3%, såfremt supplerende pension er </t>
  </si>
  <si>
    <t>Læ1/Bh1</t>
  </si>
  <si>
    <t>Læ2/bh2</t>
  </si>
  <si>
    <t>Læ3/bh3</t>
  </si>
  <si>
    <t>Læ4/bh4</t>
  </si>
  <si>
    <t>Basisløn</t>
  </si>
  <si>
    <t>x</t>
  </si>
  <si>
    <t xml:space="preserve">OK08-tillæg </t>
  </si>
  <si>
    <t>OK13-tillæg</t>
  </si>
  <si>
    <t>Reguleret</t>
  </si>
  <si>
    <t>Funktionstillæg - skolens decentrale løn</t>
  </si>
  <si>
    <t>Ja</t>
  </si>
  <si>
    <t>Nej</t>
  </si>
  <si>
    <t>Kvalifikationstillæg - skolens decentrale løn</t>
  </si>
  <si>
    <t>Evt.</t>
  </si>
  <si>
    <t>Se satser mm i arket "lærere og bh.kl.ledere"</t>
  </si>
  <si>
    <t>Lærernes forskellige faste løndele."</t>
  </si>
  <si>
    <t>Soucheftillæg - funtktionstillæg til skolens souchef</t>
  </si>
  <si>
    <t>Oversigt over løn til lærere og børnehaveklasseledere</t>
  </si>
  <si>
    <t xml:space="preserve">Ansatte med ret til tjenestemandspension, skal dog have supplerende pension i Lærernes Pension på 18% for lønddele, der overstiger slutskalatrin incl. 2 ekstra trin. For lærere: Skalatrin 42, for bhkl.ledere: trin 33. </t>
  </si>
  <si>
    <t>Lønforløb for pædagogisk personale</t>
  </si>
  <si>
    <t>(0-4 års lønanciennitet)</t>
  </si>
  <si>
    <t>(4-8 års lønanciennitet)</t>
  </si>
  <si>
    <t>(8-12 års lønanciennitet)</t>
  </si>
  <si>
    <t>(Mere end 12 års lønanciennitet)</t>
  </si>
  <si>
    <t>Beløb pr. mdr.</t>
  </si>
  <si>
    <t>Supplerende oplysninger til fanen "BUPL"</t>
  </si>
  <si>
    <t>Supplerende oplysninger til fanen "lærere og bh.kl.ledere.</t>
  </si>
  <si>
    <t>Som supplement til fanen over løn "BUPL" vises her oversigten over det pædagogiske personales lønforløb. Skalatrinsbeløbene, tillæg, pension mm., fremgår af fanen "BUPL".</t>
  </si>
  <si>
    <r>
      <t xml:space="preserve">Områdetillæg - </t>
    </r>
    <r>
      <rPr>
        <b/>
        <sz val="11"/>
        <color theme="1"/>
        <rFont val="Calibri"/>
        <family val="2"/>
        <scheme val="minor"/>
      </rPr>
      <t>kun i stedtilægsområde 3-6</t>
    </r>
  </si>
  <si>
    <t>Som supplement til fanen løn til "lærere og bh.kl.ledere" skematiseres her, hvilke faste løndele lærere og bh.kl.ledere skal have afhængig af basisløntrin. De enkelte løndele beskrives i fanen "lærere og bh.kl.ledere" Nederst i dette skema er en kort beskrivelse af supplerende pension.</t>
  </si>
  <si>
    <t>Lokalaftalt ulempegodtgørelse - Såfremt skolen har en sådan aftale</t>
  </si>
  <si>
    <t>40, 42</t>
  </si>
  <si>
    <t>40, 42, 44</t>
  </si>
  <si>
    <t xml:space="preserve">Pensionsgivende </t>
  </si>
  <si>
    <t>Se skolens aftale</t>
  </si>
  <si>
    <t>Afhængig af BG</t>
  </si>
  <si>
    <t>Lønforløb for øvrigt pædagogisk personale (oprykning efter 2 års anciennitet)</t>
  </si>
  <si>
    <t xml:space="preserve">Lønforløb for afdelingsledere (oprykning efter 4 års lederanciennitet). </t>
  </si>
  <si>
    <t>Lønforløb for ordninger uden daglig ledelse (oprykning efter 2 års anciennitet)</t>
  </si>
  <si>
    <t>Kan kun benyttes ved ordninger med højst 30 i børnetal!</t>
  </si>
  <si>
    <t>Ikke pædagoguddannede - herunder PGU/PAU</t>
  </si>
  <si>
    <t>Eget-             bidrag</t>
  </si>
  <si>
    <t xml:space="preserve">Arb.giver-        bidrag </t>
  </si>
  <si>
    <t>ATPbidrag fra 1. januar 2016</t>
  </si>
  <si>
    <t>ATP til timelønnede: Arbejdsgiverandel pr. time kr. 1,34, arbejderstagerandel pr. time kr. 0,67.</t>
  </si>
  <si>
    <t>Trin 4-tillæg (Ydes kun til lærere, der var ansat på skolen d. 31. marts 2013, og pr. 31. marts havde 12 års lønancienitet</t>
  </si>
  <si>
    <t>Jubilæumsgratialer</t>
  </si>
  <si>
    <t>Souscheftillægget er et månedligt tillæg, som ydes uafhængigt af beskæftigelsesgraden</t>
  </si>
  <si>
    <t>Alm. hovedrengøring + afsluttende rengøring efter håndværkere</t>
  </si>
  <si>
    <t>Tillæg i stedet for frit arbejdstøj, minum:</t>
  </si>
  <si>
    <t>Gruppelivspræmie øvrige ansatte (Aftale nr. 26001) - sats gældende fra 01/01/2016</t>
  </si>
  <si>
    <t>Udligningstillæg - Beregnet ved overgang fra skalatrinsløn til basisløn aug. 2004</t>
  </si>
  <si>
    <t>Ordninger med 31-150 børn:</t>
  </si>
  <si>
    <t>Ordninger med 151 børn og derover:</t>
  </si>
  <si>
    <t>Løn - anden praktikperiode</t>
  </si>
  <si>
    <t>Løn  - tredje praktikperiode</t>
  </si>
  <si>
    <t>gældende for perioden 1. april 2016 - 31. marts 2018</t>
  </si>
  <si>
    <r>
      <t>Der</t>
    </r>
    <r>
      <rPr>
        <b/>
        <sz val="11"/>
        <color theme="1"/>
        <rFont val="Arial"/>
        <family val="2"/>
      </rPr>
      <t xml:space="preserve"> kan</t>
    </r>
    <r>
      <rPr>
        <sz val="11"/>
        <color theme="1"/>
        <rFont val="Arial"/>
        <family val="2"/>
      </rPr>
      <t xml:space="preserve"> aftales tillæg for særlige funktioner. For funktionen som Køkkenleder og serviceleder </t>
    </r>
    <r>
      <rPr>
        <b/>
        <sz val="11"/>
        <color theme="1"/>
        <rFont val="Arial"/>
        <family val="2"/>
      </rPr>
      <t>SKAL</t>
    </r>
    <r>
      <rPr>
        <sz val="11"/>
        <color theme="1"/>
        <rFont val="Arial"/>
        <family val="2"/>
      </rPr>
      <t xml:space="preserve"> der aftale funktionstillæg</t>
    </r>
  </si>
  <si>
    <t>Evt. funktionstillæg - beløbet aftales</t>
  </si>
  <si>
    <t>Tillæg til for skoleledere, viceskoleinspektører, afdelingsinspektører, viceafdelingsinspektører og afdelingsledere</t>
  </si>
  <si>
    <t>Midlertidigt løntillæg</t>
  </si>
  <si>
    <r>
      <t xml:space="preserve">Der kan - </t>
    </r>
    <r>
      <rPr>
        <b/>
        <i/>
        <sz val="11"/>
        <color theme="1"/>
        <rFont val="Arial"/>
        <family val="2"/>
      </rPr>
      <t>inden for lønintervallet</t>
    </r>
    <r>
      <rPr>
        <sz val="11"/>
        <color theme="1"/>
        <rFont val="Arial"/>
        <family val="2"/>
      </rPr>
      <t xml:space="preserve"> - aftales et midlertidigt løntillæg, når dette er begrundet i tidsbegrænset varetagelse af særlige funktioner eller opgaver.</t>
    </r>
  </si>
  <si>
    <t>Udover intervallønnen kan der aftales resultatløn samt aftale om honorering af særlig indsats - dette i henhold til bemyndigelsesskrivelser fra Undervisningsministeriet.</t>
  </si>
  <si>
    <r>
      <t xml:space="preserve">Månedsløn </t>
    </r>
    <r>
      <rPr>
        <b/>
        <sz val="10"/>
        <rFont val="Arial"/>
        <family val="2"/>
      </rPr>
      <t>- reguleret med gældende reguleringsprocent</t>
    </r>
  </si>
  <si>
    <r>
      <t>Timelønnede</t>
    </r>
    <r>
      <rPr>
        <b/>
        <sz val="10"/>
        <rFont val="Arial"/>
        <family val="2"/>
      </rPr>
      <t xml:space="preserve"> - reguleret med gældende reguleringsprocent</t>
    </r>
  </si>
  <si>
    <r>
      <t xml:space="preserve">Månedsløn  </t>
    </r>
    <r>
      <rPr>
        <b/>
        <sz val="10"/>
        <rFont val="Arial"/>
        <family val="2"/>
      </rPr>
      <t>- reguleret med gældende reguleringsprocent</t>
    </r>
  </si>
  <si>
    <r>
      <t xml:space="preserve">Timelønnede  </t>
    </r>
    <r>
      <rPr>
        <b/>
        <sz val="10"/>
        <rFont val="Arial"/>
        <family val="2"/>
      </rPr>
      <t>- reguleret med gældende reguleringsprocent</t>
    </r>
  </si>
  <si>
    <r>
      <t>Månedsløn</t>
    </r>
    <r>
      <rPr>
        <b/>
        <sz val="10"/>
        <rFont val="Arial"/>
        <family val="2"/>
      </rPr>
      <t xml:space="preserve"> -er reguleret med gældende reguleringsprocent</t>
    </r>
  </si>
  <si>
    <t>Aftalt løn kr. 31.500,- pr. måned</t>
  </si>
  <si>
    <t xml:space="preserve">Aftalt løn kr. 30.000,- pr. Måned </t>
  </si>
  <si>
    <t>Skalatrinslønnen nærmest herunder på på skalatrin 42: kr. 31.038,86 pr. måned.</t>
  </si>
  <si>
    <t>Pensionstilsvaret bliver 15% af den pensionsgivende løn på skalatrin 42 = 15% af kr. 31.038,86 pr. måned = kr. 4.655,83</t>
  </si>
  <si>
    <t>Pensionstilsvaret bliver 15% af den pensionsgivende løn på skalatrin 40 = 15% af kr. 29.783,11 pr. måned = kr. 4.467,47</t>
  </si>
  <si>
    <t>Tillæg til specialuv. af svært handikappede elever v. min. 6 ugentlige klokketimer eller 2-sprogede.</t>
  </si>
  <si>
    <t>OK 13-tillæg.</t>
  </si>
  <si>
    <t xml:space="preserve">For lærere og bh.kl.ledere med tjenestemandspension er de "pensionsgivende løndele" ikke nødvendigvis pensionsgivende, bortset fra soucheftillæg og  </t>
  </si>
  <si>
    <t>Pensionsgivende</t>
  </si>
  <si>
    <t>BASISLØN</t>
  </si>
  <si>
    <t xml:space="preserve">UNDERVISNINGSTILLÆG </t>
  </si>
  <si>
    <t>Områdetillæg pr. måned</t>
  </si>
  <si>
    <t xml:space="preserve">OK-2008 tillæg </t>
  </si>
  <si>
    <t xml:space="preserve">Særligt OK-2013 tillæg </t>
  </si>
  <si>
    <t>Pensionsgivende for ansatte med lærernes pension</t>
  </si>
  <si>
    <t xml:space="preserve">Souscheftillæg </t>
  </si>
  <si>
    <t>Ikke pensionsgivende</t>
  </si>
  <si>
    <t xml:space="preserve">Tillæg til specialundervisning </t>
  </si>
  <si>
    <t xml:space="preserve">Tillæg til specialundervisning af svært handikappede elever, til hvem skolen modtager ekstra tilskud i henhold til Lov om friskoler og private grundskoler mv.§11, samt til støtteundervisning i dansk for tosprogede elever </t>
  </si>
  <si>
    <t>Arbejdstidsbestemte tillæg</t>
  </si>
  <si>
    <t>Løninterval</t>
  </si>
  <si>
    <t>Afdelingsledere ved en kostskoles boafdeling</t>
  </si>
  <si>
    <t>Skalatrinslønnen nærmest herunder på skalatrin 40: kr. 29.783,11 pr. måned.</t>
  </si>
  <si>
    <t>Resultatløn samt engangsvederlag</t>
  </si>
  <si>
    <t>Beløbsgrænse for engangsvederlag hvori der også er aftalt resultatløn</t>
  </si>
  <si>
    <t>Beløbsgrænse for engangsvederlag uden aftalt resultatløn</t>
  </si>
  <si>
    <t>Afhængig af beskæftigelsesgraden. Den pensionsberettigede løn er pensionsberettiget</t>
  </si>
  <si>
    <t>Afhængigt  af beskæftigelsesgraden. Pensionsgivende</t>
  </si>
  <si>
    <t>Overenskomsttillæg pr. 1. august 2015 (gælder IKKE lederere og lukkede grupper)</t>
  </si>
  <si>
    <t>Afhængigt af beskæftigelsesgraden samt pensionsgivende for ansatte med lærernes pension</t>
  </si>
  <si>
    <t>Afhængigt af beskæftigelsesgrad. Ikke pensionsgivende.(Tillægget er ureguleret)</t>
  </si>
  <si>
    <t>Afhængigt af beskæftelsesgraden. Ikke pensionsgivende.</t>
  </si>
  <si>
    <t>Afhængigt af beskæftigelsesgraden. Pensionsgivende for alle.</t>
  </si>
  <si>
    <t>Ikke afhængigt af beskæftigelsesgraden. Pensionsgivende</t>
  </si>
  <si>
    <t>Tillidsrepræsentanter</t>
  </si>
  <si>
    <t>Praktikansvarlige</t>
  </si>
  <si>
    <t>Tillægget er et mdr. tillæg</t>
  </si>
  <si>
    <t xml:space="preserve">DENNE LØNTABEL GÆLDER ALENE ANSATTE OK MELLEM 3F og følgende skoleforrenigner:                                                                                      </t>
  </si>
  <si>
    <t>Årligt tillæg- udbetales med 1/12 pr. md</t>
  </si>
  <si>
    <t xml:space="preserve">Hovedrengøringstillæg </t>
  </si>
  <si>
    <t xml:space="preserve">Funktionstillæg </t>
  </si>
  <si>
    <t xml:space="preserve">Dispositionstillæg </t>
  </si>
  <si>
    <t xml:space="preserve">Arbejdstøjstillæg </t>
  </si>
  <si>
    <t>Sekretærer, IT-medarbejdere og andre administrative medarbejdere</t>
  </si>
  <si>
    <t>Denne løntabel gælder alene for ansatte, der har tilsluttet sig Landsoverenskomst 2015-2018 mellem Lilleskolernes sammenslutning og HK/Privat</t>
  </si>
  <si>
    <t>Afhængigt af beskæftigelsesgraden og pensiongivende</t>
  </si>
  <si>
    <t xml:space="preserve">Basisløn for sekretærer, IT-medarbejdere og andre adm. medarbejdere </t>
  </si>
  <si>
    <t>Strategi/langtidsplanlæg.</t>
  </si>
  <si>
    <t>Pr. døgn a 24 timer</t>
  </si>
  <si>
    <r>
      <t xml:space="preserve">Unge under 18 år, </t>
    </r>
    <r>
      <rPr>
        <sz val="12"/>
        <rFont val="Arial"/>
        <family val="2"/>
      </rPr>
      <t>pr. arbejdstime (60 minutter)</t>
    </r>
  </si>
  <si>
    <r>
      <t>Lønnens sammensætning:</t>
    </r>
    <r>
      <rPr>
        <sz val="11"/>
        <rFont val="Arial"/>
        <family val="2"/>
      </rPr>
      <t xml:space="preserve"> Grundløn, relevante funktionstillæg samt individuelt forhandlet personligt tillæg</t>
    </r>
  </si>
  <si>
    <t>*) indtil 20.000 km pr. år derefter 1,93</t>
  </si>
  <si>
    <t>Reguleringsfaktoren blev nulstillet d. 31/03/2012, hvorefter der blev beregnet nye grundbeløb</t>
  </si>
  <si>
    <t>Pr. time udover hele døgn</t>
  </si>
  <si>
    <t>Danmarks Private Skoler</t>
  </si>
  <si>
    <t>DENNE LØNTABEL GÆLDER ALENE FOR ANSATTE EFTER OVERENSKOMST MELLEM 3F OG DANMARKS PRIVATE SKOLER</t>
  </si>
  <si>
    <t>Lilleskolerne, Dansk Friskoleforening, Foreningen af Kristne Friskoler samt Deutche Schul- und spracherein</t>
  </si>
  <si>
    <t>Fradrag for morgenmad(15%)</t>
  </si>
  <si>
    <t>Fradrag for frokost(30%)</t>
  </si>
  <si>
    <t>Fradrag for aftenmåltid(30%)</t>
  </si>
  <si>
    <t>Fradrag for fuld kost(75%)</t>
  </si>
  <si>
    <t>Denne version er udgivet af:</t>
  </si>
  <si>
    <t xml:space="preserve">Løntabellen omfatter følgende medarbejdere/overenskomster: </t>
  </si>
  <si>
    <t>Lærere, ledere og børnehaveklasseledere</t>
  </si>
  <si>
    <t xml:space="preserve">Ansatte under BUPL </t>
  </si>
  <si>
    <t>Ansatte under 3F</t>
  </si>
  <si>
    <t>HK personale</t>
  </si>
  <si>
    <t>Samt andre gældende satser</t>
  </si>
  <si>
    <t>Ledere</t>
  </si>
  <si>
    <t>Beløb</t>
  </si>
  <si>
    <t>Beløb pr. år</t>
  </si>
  <si>
    <t>Grundbeløb pr. time</t>
  </si>
  <si>
    <t>Beløb pr. time</t>
  </si>
  <si>
    <t>Pensionsgivende løn pr. mdr.</t>
  </si>
  <si>
    <t>30.11.2017</t>
  </si>
  <si>
    <t>Pr. 1 august 2015: kr. 2.000,- i grundbeløb pr. år. Pr. 1. april 2017 yderligere kr. 2.000,- i grundbeløb pr. år.</t>
  </si>
  <si>
    <t>01/04/17</t>
  </si>
  <si>
    <t>Godtgørelse for tjeneste på lørdage efter kl. 14:00.</t>
  </si>
  <si>
    <t>samt lørdage før kl. 14:00 såfremt  halvdelen af arb.tiden ligger efter kl. 14:00</t>
  </si>
  <si>
    <t>Pensionsbidrag 15%</t>
  </si>
  <si>
    <r>
      <rPr>
        <b/>
        <sz val="11"/>
        <color theme="1"/>
        <rFont val="Arial"/>
        <family val="2"/>
      </rPr>
      <t xml:space="preserve">Weekendtillæg - nettotimelønnen + 50%:  </t>
    </r>
    <r>
      <rPr>
        <sz val="11"/>
        <color theme="1"/>
        <rFont val="Arial"/>
        <family val="2"/>
      </rPr>
      <t>Ydes fra fredag kl. 00.00 - søndag kl. 24.00 samt søgnehelligdage fra kl. 00.00-24.00.</t>
    </r>
  </si>
  <si>
    <r>
      <rPr>
        <b/>
        <sz val="11"/>
        <color theme="1"/>
        <rFont val="Arial"/>
        <family val="2"/>
      </rPr>
      <t>Ulempetillæg - 25% af nettotimelønnen</t>
    </r>
    <r>
      <rPr>
        <sz val="11"/>
        <color theme="1"/>
        <rFont val="Arial"/>
        <family val="2"/>
      </rPr>
      <t>: Ydes på hverdage fra kl. 17.00-06.00. I weekender fra kl. 00.00-søndag kl. 24.00. Søgnehelligdage fra kl.00.00 til kl. 24.00. Grundlovsdag efter kl. 12:00 samt juleaftensdag efter kl. 14.00.</t>
    </r>
  </si>
  <si>
    <t>Statens takster afhængig af områdetillæg</t>
  </si>
  <si>
    <t>(oversigt over stedtillægsområder findes under fanen "generelle satser")</t>
  </si>
  <si>
    <t>Ja - såfremt det udb. som et fast mdr. beløb</t>
  </si>
  <si>
    <t>Albertslund, Ballerup, Brøndby, Dragør, Egedal, Frederiksberg, Furesø, Gentofte, Gladsaxe, Glostrup, Greve, Herlev, Hvidovre, Høje-Taastrup, Ishøj, København, Lyngby-Taarbæk, Rudersdal, Rødovre, Tårnby, Vallensbæk.</t>
  </si>
  <si>
    <t>Ikke afhængigt af beskæftigelsesgraden. Pensionsgivende.</t>
  </si>
  <si>
    <t>Gældende for perioden: 1. april 2017 til 30. november 2017</t>
  </si>
  <si>
    <t>Udgivet d. 01.06.2017</t>
  </si>
  <si>
    <t>Rengøringsassistenter, køkkenmedarbejdere, chauffører, tekniske servicemedarbejdere og tekniske serviceledere(Pedeller)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</si>
</sst>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k_r_-;\-* #,##0.00\ _k_r_-;_-* &quot;-&quot;??\ _k_r_-;_-@_-"/>
    <numFmt numFmtId="164" formatCode="dd:mm:yyyy;@"/>
    <numFmt numFmtId="165" formatCode="0.0000"/>
    <numFmt numFmtId="166" formatCode="dd/mm/yy;@"/>
    <numFmt numFmtId="167" formatCode="_(* #,##0.00_);_(* \(#,##0.00\);_(* &quot;-&quot;??_);_(@_)"/>
    <numFmt numFmtId="168" formatCode="_(&quot;kr&quot;\ * #,##0.00_);_(&quot;kr&quot;\ * \(#,##0.00\);_(&quot;kr&quot;\ * &quot;-&quot;??_);_(@_)"/>
    <numFmt numFmtId="169" formatCode="_(&quot;kr&quot;\ * #,##0_);_(&quot;kr&quot;\ * \(#,##0\);_(&quot;kr&quot;\ * &quot;-&quot;??_);_(@_)"/>
  </numFmts>
  <fonts count="7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name val="Helvetica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</font>
    <font>
      <sz val="16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Times New Roman"/>
      <family val="1"/>
    </font>
    <font>
      <sz val="11"/>
      <name val="Arial"/>
      <family val="2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Helv"/>
    </font>
    <font>
      <sz val="11"/>
      <color indexed="8"/>
      <name val="Arial"/>
      <family val="2"/>
    </font>
    <font>
      <sz val="14"/>
      <name val="Arial"/>
      <family val="2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b/>
      <i/>
      <sz val="14"/>
      <name val="Arial"/>
      <family val="2"/>
    </font>
    <font>
      <i/>
      <sz val="10"/>
      <name val="Times New Roman"/>
      <family val="1"/>
    </font>
    <font>
      <b/>
      <sz val="16"/>
      <color rgb="FF000000"/>
      <name val="Arial"/>
      <family val="2"/>
    </font>
    <font>
      <b/>
      <i/>
      <sz val="10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6"/>
      <color theme="1"/>
      <name val="Calibri"/>
      <scheme val="minor"/>
    </font>
    <font>
      <sz val="10"/>
      <color theme="1"/>
      <name val="Calibri (Tekst)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i/>
      <sz val="12"/>
      <color theme="1"/>
      <name val="Arial"/>
    </font>
    <font>
      <sz val="12"/>
      <name val="Arial"/>
      <family val="2"/>
    </font>
    <font>
      <sz val="12"/>
      <color indexed="8"/>
      <name val="Arial"/>
    </font>
    <font>
      <i/>
      <sz val="10"/>
      <name val="Arial"/>
    </font>
    <font>
      <i/>
      <sz val="12"/>
      <name val="Arial"/>
    </font>
    <font>
      <sz val="12"/>
      <name val="Times New Roman"/>
      <family val="1"/>
    </font>
    <font>
      <b/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22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42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44" fillId="0" borderId="0" applyFont="0" applyFill="0" applyBorder="0" applyAlignment="0" applyProtection="0"/>
    <xf numFmtId="167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08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64" fontId="0" fillId="0" borderId="0" xfId="0" applyNumberFormat="1"/>
    <xf numFmtId="4" fontId="3" fillId="0" borderId="0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3" borderId="0" xfId="0" quotePrefix="1" applyFont="1" applyFill="1" applyBorder="1" applyAlignment="1">
      <alignment vertical="center" wrapText="1"/>
    </xf>
    <xf numFmtId="0" fontId="19" fillId="0" borderId="0" xfId="0" applyFont="1"/>
    <xf numFmtId="165" fontId="18" fillId="0" borderId="8" xfId="0" applyNumberFormat="1" applyFont="1" applyBorder="1"/>
    <xf numFmtId="0" fontId="18" fillId="0" borderId="9" xfId="0" applyFont="1" applyBorder="1" applyAlignment="1">
      <alignment horizontal="center"/>
    </xf>
    <xf numFmtId="165" fontId="18" fillId="0" borderId="11" xfId="0" applyNumberFormat="1" applyFont="1" applyBorder="1"/>
    <xf numFmtId="0" fontId="23" fillId="0" borderId="0" xfId="0" applyFont="1"/>
    <xf numFmtId="0" fontId="20" fillId="0" borderId="0" xfId="0" applyFont="1"/>
    <xf numFmtId="0" fontId="21" fillId="0" borderId="0" xfId="0" applyFont="1"/>
    <xf numFmtId="0" fontId="21" fillId="2" borderId="4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0" borderId="0" xfId="0" applyFont="1" applyBorder="1"/>
    <xf numFmtId="0" fontId="22" fillId="0" borderId="0" xfId="0" applyFont="1" applyBorder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21" fillId="0" borderId="0" xfId="0" applyFont="1" applyBorder="1" applyAlignment="1">
      <alignment horizontal="center" wrapText="1"/>
    </xf>
    <xf numFmtId="0" fontId="20" fillId="3" borderId="0" xfId="0" applyFont="1" applyFill="1"/>
    <xf numFmtId="0" fontId="24" fillId="3" borderId="0" xfId="0" applyFont="1" applyFill="1"/>
    <xf numFmtId="165" fontId="18" fillId="3" borderId="8" xfId="0" applyNumberFormat="1" applyFont="1" applyFill="1" applyBorder="1"/>
    <xf numFmtId="0" fontId="2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0" xfId="0" applyBorder="1"/>
    <xf numFmtId="0" fontId="10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30" fillId="0" borderId="0" xfId="0" applyFont="1"/>
    <xf numFmtId="0" fontId="14" fillId="3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2" fillId="3" borderId="0" xfId="0" applyFont="1" applyFill="1" applyBorder="1" applyAlignment="1">
      <alignment horizontal="center"/>
    </xf>
    <xf numFmtId="0" fontId="12" fillId="3" borderId="23" xfId="0" applyNumberFormat="1" applyFont="1" applyFill="1" applyBorder="1" applyAlignment="1">
      <alignment horizontal="right"/>
    </xf>
    <xf numFmtId="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30" fillId="0" borderId="0" xfId="0" applyFont="1" applyFill="1"/>
    <xf numFmtId="4" fontId="12" fillId="0" borderId="0" xfId="0" applyNumberFormat="1" applyFont="1" applyBorder="1" applyAlignment="1"/>
    <xf numFmtId="43" fontId="12" fillId="0" borderId="0" xfId="80" applyFont="1" applyBorder="1" applyAlignment="1">
      <alignment horizontal="right" vertical="center" wrapText="1"/>
    </xf>
    <xf numFmtId="43" fontId="12" fillId="3" borderId="0" xfId="80" applyFont="1" applyFill="1" applyBorder="1" applyAlignment="1">
      <alignment vertical="center"/>
    </xf>
    <xf numFmtId="43" fontId="12" fillId="0" borderId="0" xfId="80" applyFont="1" applyBorder="1" applyAlignment="1">
      <alignment horizontal="right" vertical="center"/>
    </xf>
    <xf numFmtId="43" fontId="12" fillId="0" borderId="0" xfId="80" applyFont="1" applyBorder="1" applyAlignment="1">
      <alignment horizontal="right"/>
    </xf>
    <xf numFmtId="0" fontId="12" fillId="3" borderId="0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wrapText="1"/>
    </xf>
    <xf numFmtId="0" fontId="12" fillId="3" borderId="0" xfId="0" applyFont="1" applyFill="1" applyBorder="1" applyAlignment="1">
      <alignment wrapText="1"/>
    </xf>
    <xf numFmtId="4" fontId="12" fillId="3" borderId="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0" fontId="12" fillId="3" borderId="0" xfId="0" applyFont="1" applyFill="1"/>
    <xf numFmtId="0" fontId="3" fillId="3" borderId="0" xfId="0" applyFont="1" applyFill="1"/>
    <xf numFmtId="0" fontId="15" fillId="3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 vertical="center" wrapText="1"/>
    </xf>
    <xf numFmtId="14" fontId="28" fillId="5" borderId="0" xfId="0" applyNumberFormat="1" applyFont="1" applyFill="1" applyBorder="1" applyAlignment="1">
      <alignment horizontal="center" vertical="center"/>
    </xf>
    <xf numFmtId="14" fontId="12" fillId="3" borderId="0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/>
    <xf numFmtId="0" fontId="11" fillId="3" borderId="0" xfId="0" applyFont="1" applyFill="1" applyBorder="1" applyAlignment="1">
      <alignment vertical="center"/>
    </xf>
    <xf numFmtId="14" fontId="12" fillId="3" borderId="0" xfId="0" applyNumberFormat="1" applyFont="1" applyFill="1" applyBorder="1" applyAlignment="1">
      <alignment horizontal="center" wrapText="1"/>
    </xf>
    <xf numFmtId="0" fontId="14" fillId="4" borderId="56" xfId="0" applyFont="1" applyFill="1" applyBorder="1" applyAlignment="1">
      <alignment horizontal="left"/>
    </xf>
    <xf numFmtId="0" fontId="14" fillId="4" borderId="48" xfId="0" applyFont="1" applyFill="1" applyBorder="1" applyAlignment="1">
      <alignment horizontal="left"/>
    </xf>
    <xf numFmtId="14" fontId="31" fillId="3" borderId="0" xfId="0" applyNumberFormat="1" applyFont="1" applyFill="1" applyBorder="1" applyAlignment="1">
      <alignment horizontal="center"/>
    </xf>
    <xf numFmtId="4" fontId="14" fillId="0" borderId="0" xfId="0" applyNumberFormat="1" applyFont="1"/>
    <xf numFmtId="0" fontId="12" fillId="3" borderId="0" xfId="0" applyFont="1" applyFill="1" applyBorder="1" applyAlignment="1">
      <alignment horizontal="left" vertical="center" wrapText="1"/>
    </xf>
    <xf numFmtId="0" fontId="0" fillId="3" borderId="0" xfId="0" applyFill="1" applyBorder="1"/>
    <xf numFmtId="14" fontId="28" fillId="5" borderId="0" xfId="0" applyNumberFormat="1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/>
    <xf numFmtId="0" fontId="3" fillId="3" borderId="0" xfId="0" applyFont="1" applyFill="1" applyBorder="1"/>
    <xf numFmtId="0" fontId="12" fillId="3" borderId="0" xfId="0" applyFont="1" applyFill="1" applyBorder="1" applyAlignment="1">
      <alignment horizontal="right" vertical="center"/>
    </xf>
    <xf numFmtId="2" fontId="12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center" vertical="center" wrapText="1"/>
    </xf>
    <xf numFmtId="0" fontId="31" fillId="3" borderId="0" xfId="0" applyFont="1" applyFill="1" applyBorder="1" applyAlignment="1"/>
    <xf numFmtId="14" fontId="31" fillId="3" borderId="0" xfId="0" applyNumberFormat="1" applyFont="1" applyFill="1" applyBorder="1" applyAlignment="1"/>
    <xf numFmtId="0" fontId="12" fillId="3" borderId="0" xfId="0" applyFont="1" applyFill="1" applyBorder="1" applyAlignment="1">
      <alignment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14" fontId="14" fillId="3" borderId="0" xfId="0" applyNumberFormat="1" applyFont="1" applyFill="1" applyBorder="1" applyAlignment="1">
      <alignment horizontal="left"/>
    </xf>
    <xf numFmtId="0" fontId="14" fillId="4" borderId="7" xfId="0" applyFont="1" applyFill="1" applyBorder="1" applyAlignment="1">
      <alignment horizontal="center" vertical="center"/>
    </xf>
    <xf numFmtId="14" fontId="14" fillId="4" borderId="7" xfId="0" applyNumberFormat="1" applyFont="1" applyFill="1" applyBorder="1" applyAlignment="1">
      <alignment horizontal="center"/>
    </xf>
    <xf numFmtId="14" fontId="14" fillId="4" borderId="9" xfId="0" applyNumberFormat="1" applyFont="1" applyFill="1" applyBorder="1" applyAlignment="1">
      <alignment horizontal="center"/>
    </xf>
    <xf numFmtId="14" fontId="14" fillId="3" borderId="0" xfId="0" applyNumberFormat="1" applyFont="1" applyFill="1" applyBorder="1" applyAlignment="1">
      <alignment horizontal="left" vertical="center" wrapText="1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33" fillId="6" borderId="23" xfId="0" applyFont="1" applyFill="1" applyBorder="1" applyAlignment="1">
      <alignment horizontal="left" vertical="center"/>
    </xf>
    <xf numFmtId="0" fontId="12" fillId="4" borderId="62" xfId="0" applyFont="1" applyFill="1" applyBorder="1" applyAlignment="1">
      <alignment horizontal="center"/>
    </xf>
    <xf numFmtId="0" fontId="12" fillId="4" borderId="49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14" fontId="18" fillId="3" borderId="7" xfId="0" applyNumberFormat="1" applyFont="1" applyFill="1" applyBorder="1" applyAlignment="1">
      <alignment horizontal="center"/>
    </xf>
    <xf numFmtId="0" fontId="20" fillId="4" borderId="42" xfId="0" applyFont="1" applyFill="1" applyBorder="1"/>
    <xf numFmtId="0" fontId="14" fillId="4" borderId="46" xfId="0" applyFont="1" applyFill="1" applyBorder="1" applyAlignment="1">
      <alignment horizontal="center"/>
    </xf>
    <xf numFmtId="0" fontId="14" fillId="4" borderId="49" xfId="0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12" fillId="0" borderId="0" xfId="0" applyFont="1" applyBorder="1"/>
    <xf numFmtId="3" fontId="14" fillId="3" borderId="47" xfId="0" applyNumberFormat="1" applyFont="1" applyFill="1" applyBorder="1" applyAlignment="1">
      <alignment horizontal="center"/>
    </xf>
    <xf numFmtId="3" fontId="14" fillId="3" borderId="27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14" fontId="14" fillId="4" borderId="12" xfId="0" applyNumberFormat="1" applyFont="1" applyFill="1" applyBorder="1" applyAlignment="1">
      <alignment horizontal="center"/>
    </xf>
    <xf numFmtId="14" fontId="14" fillId="4" borderId="35" xfId="0" applyNumberFormat="1" applyFont="1" applyFill="1" applyBorder="1" applyAlignment="1">
      <alignment horizontal="center"/>
    </xf>
    <xf numFmtId="3" fontId="14" fillId="3" borderId="47" xfId="0" applyNumberFormat="1" applyFont="1" applyFill="1" applyBorder="1" applyAlignment="1">
      <alignment horizontal="center" vertical="center"/>
    </xf>
    <xf numFmtId="3" fontId="14" fillId="3" borderId="13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15" xfId="0" applyNumberFormat="1" applyFont="1" applyFill="1" applyBorder="1" applyAlignment="1">
      <alignment horizontal="center" vertical="center"/>
    </xf>
    <xf numFmtId="3" fontId="14" fillId="3" borderId="44" xfId="0" applyNumberFormat="1" applyFont="1" applyFill="1" applyBorder="1" applyAlignment="1">
      <alignment horizontal="center"/>
    </xf>
    <xf numFmtId="3" fontId="14" fillId="3" borderId="44" xfId="0" applyNumberFormat="1" applyFont="1" applyFill="1" applyBorder="1" applyAlignment="1">
      <alignment horizontal="center" vertical="center"/>
    </xf>
    <xf numFmtId="3" fontId="14" fillId="3" borderId="21" xfId="0" applyNumberFormat="1" applyFont="1" applyFill="1" applyBorder="1" applyAlignment="1">
      <alignment horizontal="center" vertical="center"/>
    </xf>
    <xf numFmtId="3" fontId="14" fillId="3" borderId="24" xfId="0" applyNumberFormat="1" applyFont="1" applyFill="1" applyBorder="1" applyAlignment="1">
      <alignment horizontal="center" vertical="center"/>
    </xf>
    <xf numFmtId="3" fontId="14" fillId="3" borderId="22" xfId="0" applyNumberFormat="1" applyFont="1" applyFill="1" applyBorder="1" applyAlignment="1">
      <alignment horizontal="center" vertical="center"/>
    </xf>
    <xf numFmtId="0" fontId="32" fillId="6" borderId="53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0" fontId="12" fillId="4" borderId="57" xfId="0" applyNumberFormat="1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wrapText="1"/>
    </xf>
    <xf numFmtId="4" fontId="12" fillId="3" borderId="49" xfId="0" applyNumberFormat="1" applyFont="1" applyFill="1" applyBorder="1" applyAlignment="1">
      <alignment horizontal="center" vertical="center" wrapText="1"/>
    </xf>
    <xf numFmtId="4" fontId="12" fillId="3" borderId="50" xfId="0" applyNumberFormat="1" applyFont="1" applyFill="1" applyBorder="1" applyAlignment="1">
      <alignment horizontal="center" vertical="center" wrapText="1"/>
    </xf>
    <xf numFmtId="4" fontId="12" fillId="3" borderId="46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37" fillId="0" borderId="0" xfId="0" applyFont="1"/>
    <xf numFmtId="0" fontId="0" fillId="3" borderId="0" xfId="0" applyFill="1" applyAlignment="1">
      <alignment horizontal="center"/>
    </xf>
    <xf numFmtId="14" fontId="14" fillId="3" borderId="0" xfId="0" applyNumberFormat="1" applyFont="1" applyFill="1" applyBorder="1" applyAlignment="1"/>
    <xf numFmtId="4" fontId="14" fillId="3" borderId="0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left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45" xfId="0" applyNumberFormat="1" applyFont="1" applyFill="1" applyBorder="1" applyAlignment="1">
      <alignment horizontal="center" vertical="center"/>
    </xf>
    <xf numFmtId="3" fontId="14" fillId="3" borderId="27" xfId="0" applyNumberFormat="1" applyFont="1" applyFill="1" applyBorder="1" applyAlignment="1">
      <alignment horizontal="center"/>
    </xf>
    <xf numFmtId="3" fontId="14" fillId="3" borderId="19" xfId="0" applyNumberFormat="1" applyFont="1" applyFill="1" applyBorder="1" applyAlignment="1">
      <alignment horizontal="center" vertical="center"/>
    </xf>
    <xf numFmtId="3" fontId="14" fillId="3" borderId="20" xfId="0" applyNumberFormat="1" applyFont="1" applyFill="1" applyBorder="1" applyAlignment="1">
      <alignment horizontal="center" vertical="center"/>
    </xf>
    <xf numFmtId="3" fontId="14" fillId="3" borderId="29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Border="1" applyAlignment="1">
      <alignment horizontal="center" vertical="center"/>
    </xf>
    <xf numFmtId="0" fontId="32" fillId="0" borderId="46" xfId="0" applyNumberFormat="1" applyFont="1" applyBorder="1" applyAlignment="1">
      <alignment horizontal="center"/>
    </xf>
    <xf numFmtId="0" fontId="14" fillId="0" borderId="49" xfId="0" applyNumberFormat="1" applyFont="1" applyBorder="1" applyAlignment="1">
      <alignment horizontal="center"/>
    </xf>
    <xf numFmtId="0" fontId="14" fillId="0" borderId="4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166" fontId="25" fillId="3" borderId="0" xfId="0" applyNumberFormat="1" applyFont="1" applyFill="1" applyAlignment="1">
      <alignment horizontal="center"/>
    </xf>
    <xf numFmtId="0" fontId="14" fillId="4" borderId="4" xfId="0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55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3" fontId="14" fillId="0" borderId="33" xfId="0" applyNumberFormat="1" applyFont="1" applyBorder="1" applyAlignment="1">
      <alignment horizontal="center"/>
    </xf>
    <xf numFmtId="0" fontId="14" fillId="0" borderId="39" xfId="0" applyFont="1" applyBorder="1" applyAlignment="1">
      <alignment horizontal="center"/>
    </xf>
    <xf numFmtId="3" fontId="14" fillId="0" borderId="38" xfId="0" applyNumberFormat="1" applyFont="1" applyBorder="1" applyAlignment="1">
      <alignment horizontal="center"/>
    </xf>
    <xf numFmtId="2" fontId="14" fillId="0" borderId="39" xfId="0" applyNumberFormat="1" applyFont="1" applyBorder="1" applyAlignment="1">
      <alignment horizontal="center"/>
    </xf>
    <xf numFmtId="3" fontId="14" fillId="0" borderId="3" xfId="0" applyNumberFormat="1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3" fontId="14" fillId="0" borderId="18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2" fontId="14" fillId="0" borderId="10" xfId="0" applyNumberFormat="1" applyFont="1" applyBorder="1" applyAlignment="1">
      <alignment horizontal="center"/>
    </xf>
    <xf numFmtId="0" fontId="14" fillId="4" borderId="62" xfId="0" applyFont="1" applyFill="1" applyBorder="1" applyAlignment="1">
      <alignment horizontal="center"/>
    </xf>
    <xf numFmtId="4" fontId="32" fillId="0" borderId="45" xfId="0" applyNumberFormat="1" applyFont="1" applyBorder="1" applyAlignment="1">
      <alignment horizontal="center"/>
    </xf>
    <xf numFmtId="4" fontId="32" fillId="0" borderId="22" xfId="0" applyNumberFormat="1" applyFont="1" applyBorder="1" applyAlignment="1">
      <alignment horizontal="center"/>
    </xf>
    <xf numFmtId="4" fontId="14" fillId="0" borderId="31" xfId="0" applyNumberFormat="1" applyFont="1" applyBorder="1" applyAlignment="1">
      <alignment horizontal="center"/>
    </xf>
    <xf numFmtId="4" fontId="14" fillId="0" borderId="57" xfId="0" applyNumberFormat="1" applyFont="1" applyBorder="1" applyAlignment="1">
      <alignment horizontal="center"/>
    </xf>
    <xf numFmtId="4" fontId="14" fillId="0" borderId="62" xfId="0" applyNumberFormat="1" applyFont="1" applyBorder="1" applyAlignment="1">
      <alignment horizontal="center"/>
    </xf>
    <xf numFmtId="4" fontId="14" fillId="0" borderId="50" xfId="0" applyNumberFormat="1" applyFont="1" applyBorder="1" applyAlignment="1">
      <alignment horizontal="center"/>
    </xf>
    <xf numFmtId="4" fontId="14" fillId="0" borderId="41" xfId="0" applyNumberFormat="1" applyFont="1" applyBorder="1" applyAlignment="1">
      <alignment horizontal="center"/>
    </xf>
    <xf numFmtId="2" fontId="14" fillId="0" borderId="53" xfId="0" applyNumberFormat="1" applyFont="1" applyBorder="1" applyAlignment="1">
      <alignment horizontal="center"/>
    </xf>
    <xf numFmtId="0" fontId="14" fillId="3" borderId="34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45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left"/>
    </xf>
    <xf numFmtId="0" fontId="14" fillId="3" borderId="29" xfId="0" applyFont="1" applyFill="1" applyBorder="1" applyAlignment="1">
      <alignment horizontal="center"/>
    </xf>
    <xf numFmtId="4" fontId="14" fillId="3" borderId="28" xfId="0" applyNumberFormat="1" applyFont="1" applyFill="1" applyBorder="1" applyAlignment="1">
      <alignment horizontal="center" vertical="center"/>
    </xf>
    <xf numFmtId="4" fontId="14" fillId="3" borderId="30" xfId="0" applyNumberFormat="1" applyFont="1" applyFill="1" applyBorder="1" applyAlignment="1">
      <alignment horizontal="center" vertical="center"/>
    </xf>
    <xf numFmtId="4" fontId="14" fillId="3" borderId="34" xfId="0" applyNumberFormat="1" applyFont="1" applyFill="1" applyBorder="1" applyAlignment="1">
      <alignment horizontal="center" vertical="center"/>
    </xf>
    <xf numFmtId="4" fontId="14" fillId="3" borderId="45" xfId="0" applyNumberFormat="1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center"/>
    </xf>
    <xf numFmtId="4" fontId="14" fillId="3" borderId="21" xfId="0" applyNumberFormat="1" applyFont="1" applyFill="1" applyBorder="1" applyAlignment="1">
      <alignment horizontal="center" vertical="center"/>
    </xf>
    <xf numFmtId="4" fontId="14" fillId="3" borderId="22" xfId="0" applyNumberFormat="1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4" fillId="4" borderId="15" xfId="0" applyFont="1" applyFill="1" applyBorder="1" applyAlignment="1">
      <alignment horizontal="center" wrapText="1"/>
    </xf>
    <xf numFmtId="4" fontId="14" fillId="3" borderId="56" xfId="0" applyNumberFormat="1" applyFont="1" applyFill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4" fontId="14" fillId="0" borderId="27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9" xfId="0" applyNumberFormat="1" applyFont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4" fontId="14" fillId="0" borderId="40" xfId="0" applyNumberFormat="1" applyFont="1" applyBorder="1" applyAlignment="1">
      <alignment horizontal="right"/>
    </xf>
    <xf numFmtId="4" fontId="14" fillId="0" borderId="62" xfId="0" applyNumberFormat="1" applyFont="1" applyBorder="1" applyAlignment="1">
      <alignment horizontal="right"/>
    </xf>
    <xf numFmtId="4" fontId="14" fillId="0" borderId="33" xfId="0" applyNumberFormat="1" applyFont="1" applyBorder="1" applyAlignment="1">
      <alignment horizontal="right"/>
    </xf>
    <xf numFmtId="4" fontId="14" fillId="0" borderId="39" xfId="0" applyNumberFormat="1" applyFont="1" applyBorder="1" applyAlignment="1">
      <alignment horizontal="right"/>
    </xf>
    <xf numFmtId="4" fontId="14" fillId="0" borderId="46" xfId="0" applyNumberFormat="1" applyFont="1" applyBorder="1" applyAlignment="1">
      <alignment horizontal="right"/>
    </xf>
    <xf numFmtId="4" fontId="14" fillId="0" borderId="35" xfId="0" applyNumberFormat="1" applyFont="1" applyBorder="1" applyAlignment="1">
      <alignment horizontal="right"/>
    </xf>
    <xf numFmtId="4" fontId="14" fillId="0" borderId="50" xfId="0" applyNumberFormat="1" applyFont="1" applyBorder="1" applyAlignment="1">
      <alignment horizontal="right"/>
    </xf>
    <xf numFmtId="4" fontId="14" fillId="0" borderId="18" xfId="0" applyNumberFormat="1" applyFont="1" applyBorder="1" applyAlignment="1">
      <alignment horizontal="right"/>
    </xf>
    <xf numFmtId="4" fontId="14" fillId="0" borderId="25" xfId="0" applyNumberFormat="1" applyFont="1" applyBorder="1" applyAlignment="1">
      <alignment horizontal="right"/>
    </xf>
    <xf numFmtId="4" fontId="14" fillId="0" borderId="26" xfId="0" applyNumberFormat="1" applyFont="1" applyBorder="1" applyAlignment="1">
      <alignment horizontal="right"/>
    </xf>
    <xf numFmtId="4" fontId="14" fillId="0" borderId="5" xfId="0" applyNumberFormat="1" applyFont="1" applyBorder="1" applyAlignment="1">
      <alignment horizontal="right"/>
    </xf>
    <xf numFmtId="0" fontId="32" fillId="4" borderId="33" xfId="0" applyFont="1" applyFill="1" applyBorder="1" applyAlignment="1">
      <alignment horizontal="center"/>
    </xf>
    <xf numFmtId="0" fontId="32" fillId="4" borderId="26" xfId="0" applyFont="1" applyFill="1" applyBorder="1" applyAlignment="1">
      <alignment horizontal="center"/>
    </xf>
    <xf numFmtId="4" fontId="32" fillId="0" borderId="40" xfId="0" applyNumberFormat="1" applyFont="1" applyBorder="1" applyAlignment="1">
      <alignment horizontal="right"/>
    </xf>
    <xf numFmtId="4" fontId="32" fillId="0" borderId="33" xfId="0" applyNumberFormat="1" applyFont="1" applyBorder="1" applyAlignment="1">
      <alignment horizontal="right"/>
    </xf>
    <xf numFmtId="4" fontId="14" fillId="0" borderId="6" xfId="0" applyNumberFormat="1" applyFont="1" applyBorder="1"/>
    <xf numFmtId="4" fontId="14" fillId="3" borderId="13" xfId="0" applyNumberFormat="1" applyFont="1" applyFill="1" applyBorder="1" applyAlignment="1">
      <alignment horizontal="center"/>
    </xf>
    <xf numFmtId="4" fontId="14" fillId="3" borderId="62" xfId="0" applyNumberFormat="1" applyFont="1" applyFill="1" applyBorder="1" applyAlignment="1">
      <alignment horizontal="center"/>
    </xf>
    <xf numFmtId="4" fontId="14" fillId="3" borderId="5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 vertical="center" wrapText="1"/>
    </xf>
    <xf numFmtId="4" fontId="12" fillId="0" borderId="62" xfId="0" applyNumberFormat="1" applyFont="1" applyBorder="1" applyAlignment="1">
      <alignment horizontal="center" vertical="center" wrapText="1"/>
    </xf>
    <xf numFmtId="4" fontId="12" fillId="0" borderId="49" xfId="0" applyNumberFormat="1" applyFont="1" applyBorder="1" applyAlignment="1">
      <alignment horizontal="center" vertical="center" wrapText="1"/>
    </xf>
    <xf numFmtId="4" fontId="12" fillId="0" borderId="50" xfId="0" applyNumberFormat="1" applyFont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4" fontId="32" fillId="0" borderId="31" xfId="0" applyNumberFormat="1" applyFont="1" applyBorder="1" applyAlignment="1">
      <alignment horizontal="center"/>
    </xf>
    <xf numFmtId="14" fontId="12" fillId="3" borderId="7" xfId="0" applyNumberFormat="1" applyFont="1" applyFill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3" fontId="14" fillId="0" borderId="14" xfId="0" quotePrefix="1" applyNumberFormat="1" applyFont="1" applyBorder="1" applyAlignment="1">
      <alignment horizontal="center"/>
    </xf>
    <xf numFmtId="3" fontId="14" fillId="0" borderId="47" xfId="0" quotePrefix="1" applyNumberFormat="1" applyFont="1" applyBorder="1" applyAlignment="1">
      <alignment horizontal="center"/>
    </xf>
    <xf numFmtId="3" fontId="14" fillId="0" borderId="48" xfId="0" quotePrefix="1" applyNumberFormat="1" applyFont="1" applyBorder="1" applyAlignment="1">
      <alignment horizontal="center"/>
    </xf>
    <xf numFmtId="0" fontId="33" fillId="6" borderId="16" xfId="0" applyFont="1" applyFill="1" applyBorder="1" applyAlignment="1">
      <alignment horizontal="center" vertical="center"/>
    </xf>
    <xf numFmtId="0" fontId="40" fillId="0" borderId="0" xfId="709"/>
    <xf numFmtId="4" fontId="40" fillId="0" borderId="0" xfId="709" applyNumberFormat="1"/>
    <xf numFmtId="2" fontId="40" fillId="0" borderId="0" xfId="709" applyNumberFormat="1"/>
    <xf numFmtId="0" fontId="40" fillId="4" borderId="49" xfId="709" applyFill="1" applyBorder="1" applyAlignment="1">
      <alignment horizontal="center"/>
    </xf>
    <xf numFmtId="0" fontId="40" fillId="4" borderId="50" xfId="709" applyFill="1" applyBorder="1" applyAlignment="1">
      <alignment horizontal="center"/>
    </xf>
    <xf numFmtId="0" fontId="14" fillId="4" borderId="43" xfId="0" applyFont="1" applyFill="1" applyBorder="1" applyAlignment="1">
      <alignment horizontal="center"/>
    </xf>
    <xf numFmtId="4" fontId="40" fillId="3" borderId="0" xfId="709" applyNumberFormat="1" applyFill="1" applyBorder="1" applyAlignment="1">
      <alignment horizontal="center" vertical="center"/>
    </xf>
    <xf numFmtId="4" fontId="40" fillId="3" borderId="0" xfId="709" applyNumberFormat="1" applyFill="1" applyBorder="1" applyAlignment="1">
      <alignment vertical="center"/>
    </xf>
    <xf numFmtId="4" fontId="14" fillId="0" borderId="46" xfId="0" applyNumberFormat="1" applyFont="1" applyBorder="1" applyAlignment="1">
      <alignment horizontal="center"/>
    </xf>
    <xf numFmtId="4" fontId="14" fillId="0" borderId="43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40" fillId="0" borderId="0" xfId="709" applyFont="1" applyBorder="1"/>
    <xf numFmtId="0" fontId="40" fillId="0" borderId="0" xfId="709" applyBorder="1"/>
    <xf numFmtId="4" fontId="40" fillId="0" borderId="0" xfId="709" applyNumberFormat="1" applyBorder="1"/>
    <xf numFmtId="2" fontId="40" fillId="0" borderId="0" xfId="709" applyNumberFormat="1" applyBorder="1"/>
    <xf numFmtId="0" fontId="42" fillId="0" borderId="0" xfId="709" applyFont="1" applyBorder="1"/>
    <xf numFmtId="0" fontId="42" fillId="0" borderId="0" xfId="709" applyFont="1" applyBorder="1" applyAlignment="1">
      <alignment horizontal="center"/>
    </xf>
    <xf numFmtId="165" fontId="40" fillId="0" borderId="0" xfId="709" applyNumberFormat="1" applyBorder="1" applyAlignment="1">
      <alignment horizontal="center"/>
    </xf>
    <xf numFmtId="165" fontId="40" fillId="0" borderId="0" xfId="709" applyNumberFormat="1" applyBorder="1"/>
    <xf numFmtId="0" fontId="43" fillId="0" borderId="0" xfId="709" applyFont="1"/>
    <xf numFmtId="168" fontId="43" fillId="0" borderId="0" xfId="775" applyFont="1"/>
    <xf numFmtId="0" fontId="43" fillId="0" borderId="0" xfId="709" applyFont="1" applyAlignment="1">
      <alignment horizontal="left"/>
    </xf>
    <xf numFmtId="0" fontId="38" fillId="0" borderId="0" xfId="709" applyFont="1" applyBorder="1" applyAlignment="1">
      <alignment horizontal="center"/>
    </xf>
    <xf numFmtId="167" fontId="38" fillId="0" borderId="0" xfId="773" applyFont="1" applyBorder="1" applyAlignment="1">
      <alignment horizontal="justify" wrapText="1"/>
    </xf>
    <xf numFmtId="0" fontId="14" fillId="4" borderId="47" xfId="0" applyFont="1" applyFill="1" applyBorder="1" applyAlignment="1">
      <alignment vertical="center" wrapText="1" shrinkToFit="1"/>
    </xf>
    <xf numFmtId="0" fontId="14" fillId="4" borderId="48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vertical="center" wrapText="1" shrinkToFit="1"/>
    </xf>
    <xf numFmtId="0" fontId="14" fillId="4" borderId="27" xfId="0" applyFont="1" applyFill="1" applyBorder="1" applyAlignment="1">
      <alignment horizontal="left" vertical="center" wrapText="1" shrinkToFit="1"/>
    </xf>
    <xf numFmtId="167" fontId="14" fillId="0" borderId="0" xfId="773" applyFont="1"/>
    <xf numFmtId="0" fontId="38" fillId="0" borderId="0" xfId="709" applyFont="1"/>
    <xf numFmtId="167" fontId="38" fillId="0" borderId="0" xfId="773" applyFont="1"/>
    <xf numFmtId="0" fontId="49" fillId="0" borderId="0" xfId="709" applyFont="1"/>
    <xf numFmtId="4" fontId="38" fillId="0" borderId="0" xfId="709" applyNumberFormat="1" applyFont="1"/>
    <xf numFmtId="0" fontId="38" fillId="4" borderId="51" xfId="709" applyFont="1" applyFill="1" applyBorder="1"/>
    <xf numFmtId="0" fontId="38" fillId="4" borderId="52" xfId="709" applyFont="1" applyFill="1" applyBorder="1"/>
    <xf numFmtId="0" fontId="38" fillId="4" borderId="53" xfId="709" applyFont="1" applyFill="1" applyBorder="1"/>
    <xf numFmtId="0" fontId="14" fillId="4" borderId="36" xfId="0" applyFont="1" applyFill="1" applyBorder="1" applyAlignment="1">
      <alignment vertical="center" wrapText="1" shrinkToFit="1"/>
    </xf>
    <xf numFmtId="167" fontId="38" fillId="3" borderId="0" xfId="773" applyFont="1" applyFill="1" applyBorder="1" applyAlignment="1">
      <alignment horizontal="justify" wrapText="1"/>
    </xf>
    <xf numFmtId="0" fontId="38" fillId="3" borderId="0" xfId="709" applyFont="1" applyFill="1" applyBorder="1" applyAlignment="1">
      <alignment horizontal="center" vertical="top" wrapText="1"/>
    </xf>
    <xf numFmtId="0" fontId="38" fillId="3" borderId="19" xfId="709" applyFont="1" applyFill="1" applyBorder="1" applyAlignment="1">
      <alignment horizontal="center" vertical="top" wrapText="1"/>
    </xf>
    <xf numFmtId="0" fontId="14" fillId="3" borderId="0" xfId="0" applyFont="1" applyFill="1" applyBorder="1" applyAlignment="1">
      <alignment vertical="center" wrapText="1" shrinkToFit="1"/>
    </xf>
    <xf numFmtId="0" fontId="43" fillId="4" borderId="48" xfId="709" applyFont="1" applyFill="1" applyBorder="1" applyAlignment="1"/>
    <xf numFmtId="0" fontId="38" fillId="4" borderId="50" xfId="709" applyFont="1" applyFill="1" applyBorder="1" applyAlignment="1">
      <alignment horizontal="center" vertical="top" wrapText="1"/>
    </xf>
    <xf numFmtId="0" fontId="51" fillId="0" borderId="0" xfId="709" applyFont="1" applyAlignment="1">
      <alignment horizontal="center" wrapText="1"/>
    </xf>
    <xf numFmtId="0" fontId="51" fillId="0" borderId="0" xfId="709" applyFont="1" applyAlignment="1">
      <alignment horizont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0" fontId="40" fillId="3" borderId="0" xfId="709" applyFill="1" applyBorder="1"/>
    <xf numFmtId="4" fontId="38" fillId="0" borderId="0" xfId="709" applyNumberFormat="1" applyFont="1" applyBorder="1" applyAlignment="1">
      <alignment horizontal="justify" wrapText="1"/>
    </xf>
    <xf numFmtId="2" fontId="38" fillId="0" borderId="0" xfId="709" applyNumberFormat="1" applyFont="1" applyBorder="1" applyAlignment="1">
      <alignment horizontal="right" wrapText="1"/>
    </xf>
    <xf numFmtId="4" fontId="38" fillId="0" borderId="0" xfId="709" applyNumberFormat="1" applyFont="1" applyBorder="1" applyAlignment="1">
      <alignment horizontal="right" wrapText="1"/>
    </xf>
    <xf numFmtId="2" fontId="14" fillId="0" borderId="0" xfId="0" applyNumberFormat="1" applyFont="1" applyBorder="1" applyAlignment="1">
      <alignment horizontal="center"/>
    </xf>
    <xf numFmtId="0" fontId="43" fillId="3" borderId="0" xfId="709" applyFont="1" applyFill="1" applyBorder="1" applyAlignment="1"/>
    <xf numFmtId="0" fontId="14" fillId="4" borderId="36" xfId="0" applyFont="1" applyFill="1" applyBorder="1" applyAlignment="1">
      <alignment horizontal="left" vertical="center" wrapText="1" shrinkToFit="1"/>
    </xf>
    <xf numFmtId="0" fontId="14" fillId="3" borderId="0" xfId="0" applyFont="1" applyFill="1" applyBorder="1" applyAlignment="1">
      <alignment horizontal="left" vertical="center" wrapText="1" shrinkToFit="1"/>
    </xf>
    <xf numFmtId="4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Border="1" applyAlignment="1">
      <alignment horizontal="center"/>
    </xf>
    <xf numFmtId="0" fontId="38" fillId="3" borderId="0" xfId="709" applyFont="1" applyFill="1" applyBorder="1"/>
    <xf numFmtId="0" fontId="38" fillId="4" borderId="48" xfId="709" applyFont="1" applyFill="1" applyBorder="1" applyAlignment="1"/>
    <xf numFmtId="0" fontId="38" fillId="4" borderId="56" xfId="709" applyFont="1" applyFill="1" applyBorder="1" applyAlignment="1"/>
    <xf numFmtId="0" fontId="0" fillId="0" borderId="24" xfId="0" applyBorder="1"/>
    <xf numFmtId="0" fontId="0" fillId="0" borderId="21" xfId="0" applyBorder="1"/>
    <xf numFmtId="0" fontId="0" fillId="0" borderId="22" xfId="0" applyBorder="1"/>
    <xf numFmtId="4" fontId="40" fillId="0" borderId="20" xfId="0" applyNumberFormat="1" applyFont="1" applyBorder="1" applyAlignment="1">
      <alignment horizontal="center" vertical="center" wrapText="1"/>
    </xf>
    <xf numFmtId="4" fontId="40" fillId="3" borderId="49" xfId="0" applyNumberFormat="1" applyFont="1" applyFill="1" applyBorder="1" applyAlignment="1">
      <alignment horizontal="center"/>
    </xf>
    <xf numFmtId="4" fontId="40" fillId="0" borderId="20" xfId="0" applyNumberFormat="1" applyFont="1" applyBorder="1" applyAlignment="1">
      <alignment horizontal="center"/>
    </xf>
    <xf numFmtId="4" fontId="40" fillId="0" borderId="49" xfId="0" applyNumberFormat="1" applyFont="1" applyBorder="1" applyAlignment="1">
      <alignment horizontal="center"/>
    </xf>
    <xf numFmtId="10" fontId="3" fillId="0" borderId="0" xfId="0" applyNumberFormat="1" applyFont="1" applyBorder="1"/>
    <xf numFmtId="4" fontId="14" fillId="0" borderId="44" xfId="0" applyNumberFormat="1" applyFont="1" applyBorder="1" applyAlignment="1">
      <alignment horizontal="center"/>
    </xf>
    <xf numFmtId="0" fontId="45" fillId="4" borderId="34" xfId="709" applyFont="1" applyFill="1" applyBorder="1" applyAlignment="1">
      <alignment horizontal="center" vertical="center" wrapText="1"/>
    </xf>
    <xf numFmtId="0" fontId="45" fillId="4" borderId="21" xfId="709" applyFont="1" applyFill="1" applyBorder="1" applyAlignment="1">
      <alignment horizontal="center" vertical="center" wrapText="1"/>
    </xf>
    <xf numFmtId="167" fontId="40" fillId="0" borderId="46" xfId="773" applyFont="1" applyBorder="1" applyAlignment="1">
      <alignment horizontal="center" wrapText="1"/>
    </xf>
    <xf numFmtId="167" fontId="40" fillId="0" borderId="34" xfId="773" applyFont="1" applyBorder="1" applyAlignment="1">
      <alignment horizontal="center" wrapText="1"/>
    </xf>
    <xf numFmtId="167" fontId="40" fillId="0" borderId="49" xfId="773" applyFont="1" applyBorder="1" applyAlignment="1">
      <alignment horizontal="center" wrapText="1"/>
    </xf>
    <xf numFmtId="4" fontId="40" fillId="0" borderId="44" xfId="709" applyNumberFormat="1" applyFont="1" applyBorder="1" applyAlignment="1">
      <alignment horizontal="center" wrapText="1"/>
    </xf>
    <xf numFmtId="2" fontId="40" fillId="0" borderId="49" xfId="709" applyNumberFormat="1" applyFont="1" applyBorder="1" applyAlignment="1">
      <alignment horizontal="center" wrapText="1"/>
    </xf>
    <xf numFmtId="4" fontId="40" fillId="0" borderId="49" xfId="709" applyNumberFormat="1" applyFont="1" applyBorder="1" applyAlignment="1">
      <alignment horizontal="center" wrapText="1"/>
    </xf>
    <xf numFmtId="167" fontId="40" fillId="0" borderId="43" xfId="773" applyFont="1" applyBorder="1" applyAlignment="1">
      <alignment horizontal="center" wrapText="1"/>
    </xf>
    <xf numFmtId="167" fontId="40" fillId="0" borderId="21" xfId="773" applyFont="1" applyBorder="1" applyAlignment="1">
      <alignment horizontal="center" wrapText="1"/>
    </xf>
    <xf numFmtId="167" fontId="40" fillId="0" borderId="50" xfId="773" applyFont="1" applyBorder="1" applyAlignment="1">
      <alignment horizontal="center" wrapText="1"/>
    </xf>
    <xf numFmtId="4" fontId="40" fillId="0" borderId="56" xfId="709" applyNumberFormat="1" applyFont="1" applyBorder="1" applyAlignment="1">
      <alignment horizontal="center" wrapText="1"/>
    </xf>
    <xf numFmtId="2" fontId="40" fillId="0" borderId="50" xfId="709" applyNumberFormat="1" applyFont="1" applyBorder="1" applyAlignment="1">
      <alignment horizontal="center" wrapText="1"/>
    </xf>
    <xf numFmtId="4" fontId="40" fillId="0" borderId="50" xfId="709" applyNumberFormat="1" applyFont="1" applyBorder="1" applyAlignment="1">
      <alignment horizontal="center" wrapText="1"/>
    </xf>
    <xf numFmtId="0" fontId="40" fillId="4" borderId="46" xfId="709" applyFont="1" applyFill="1" applyBorder="1" applyAlignment="1">
      <alignment horizontal="center" vertical="top" wrapText="1"/>
    </xf>
    <xf numFmtId="0" fontId="40" fillId="4" borderId="43" xfId="709" applyFont="1" applyFill="1" applyBorder="1" applyAlignment="1">
      <alignment horizontal="center" vertical="top" wrapText="1"/>
    </xf>
    <xf numFmtId="167" fontId="40" fillId="3" borderId="48" xfId="773" applyFont="1" applyFill="1" applyBorder="1" applyAlignment="1">
      <alignment horizontal="center" vertical="center" wrapText="1"/>
    </xf>
    <xf numFmtId="167" fontId="40" fillId="3" borderId="50" xfId="773" applyFont="1" applyFill="1" applyBorder="1" applyAlignment="1">
      <alignment horizontal="center" vertical="center" wrapText="1"/>
    </xf>
    <xf numFmtId="167" fontId="40" fillId="3" borderId="36" xfId="773" applyFont="1" applyFill="1" applyBorder="1" applyAlignment="1">
      <alignment horizontal="center" vertical="center" wrapText="1"/>
    </xf>
    <xf numFmtId="0" fontId="40" fillId="4" borderId="50" xfId="709" applyFont="1" applyFill="1" applyBorder="1" applyAlignment="1">
      <alignment horizontal="center" vertical="center" wrapText="1"/>
    </xf>
    <xf numFmtId="2" fontId="12" fillId="0" borderId="22" xfId="0" applyNumberFormat="1" applyFont="1" applyBorder="1" applyAlignment="1">
      <alignment horizontal="center"/>
    </xf>
    <xf numFmtId="4" fontId="12" fillId="0" borderId="62" xfId="0" applyNumberFormat="1" applyFont="1" applyBorder="1" applyAlignment="1">
      <alignment horizontal="center"/>
    </xf>
    <xf numFmtId="2" fontId="12" fillId="0" borderId="45" xfId="0" applyNumberFormat="1" applyFont="1" applyBorder="1" applyAlignment="1">
      <alignment horizontal="center"/>
    </xf>
    <xf numFmtId="4" fontId="12" fillId="0" borderId="49" xfId="0" applyNumberFormat="1" applyFont="1" applyBorder="1" applyAlignment="1">
      <alignment horizontal="center"/>
    </xf>
    <xf numFmtId="2" fontId="12" fillId="0" borderId="27" xfId="0" applyNumberFormat="1" applyFont="1" applyBorder="1" applyAlignment="1">
      <alignment horizontal="center"/>
    </xf>
    <xf numFmtId="4" fontId="12" fillId="0" borderId="50" xfId="0" applyNumberFormat="1" applyFont="1" applyBorder="1" applyAlignment="1">
      <alignment horizontal="center"/>
    </xf>
    <xf numFmtId="2" fontId="12" fillId="0" borderId="36" xfId="0" applyNumberFormat="1" applyFont="1" applyBorder="1" applyAlignment="1">
      <alignment horizontal="center"/>
    </xf>
    <xf numFmtId="4" fontId="12" fillId="0" borderId="41" xfId="0" applyNumberFormat="1" applyFont="1" applyBorder="1" applyAlignment="1">
      <alignment horizontal="center"/>
    </xf>
    <xf numFmtId="4" fontId="12" fillId="0" borderId="22" xfId="0" applyNumberFormat="1" applyFont="1" applyBorder="1" applyAlignment="1">
      <alignment horizontal="center"/>
    </xf>
    <xf numFmtId="167" fontId="38" fillId="3" borderId="0" xfId="773" applyFont="1" applyFill="1" applyBorder="1" applyAlignment="1">
      <alignment wrapText="1"/>
    </xf>
    <xf numFmtId="0" fontId="43" fillId="3" borderId="0" xfId="709" applyFont="1" applyFill="1" applyBorder="1"/>
    <xf numFmtId="4" fontId="38" fillId="3" borderId="0" xfId="709" applyNumberFormat="1" applyFont="1" applyFill="1" applyBorder="1" applyAlignment="1">
      <alignment horizontal="justify" vertical="center" wrapText="1"/>
    </xf>
    <xf numFmtId="2" fontId="38" fillId="3" borderId="0" xfId="709" applyNumberFormat="1" applyFont="1" applyFill="1" applyBorder="1" applyAlignment="1">
      <alignment horizontal="right" vertical="center" wrapText="1"/>
    </xf>
    <xf numFmtId="4" fontId="38" fillId="3" borderId="0" xfId="709" applyNumberFormat="1" applyFont="1" applyFill="1" applyBorder="1" applyAlignment="1">
      <alignment horizontal="right" vertical="center" wrapText="1"/>
    </xf>
    <xf numFmtId="168" fontId="38" fillId="0" borderId="0" xfId="775" applyFont="1"/>
    <xf numFmtId="0" fontId="42" fillId="4" borderId="49" xfId="709" applyFont="1" applyFill="1" applyBorder="1" applyAlignment="1">
      <alignment horizontal="left" vertical="top" wrapText="1"/>
    </xf>
    <xf numFmtId="0" fontId="42" fillId="4" borderId="50" xfId="709" applyFont="1" applyFill="1" applyBorder="1" applyAlignment="1">
      <alignment horizontal="left" vertical="top" wrapText="1"/>
    </xf>
    <xf numFmtId="0" fontId="42" fillId="4" borderId="44" xfId="709" applyFont="1" applyFill="1" applyBorder="1" applyAlignment="1">
      <alignment horizontal="left" vertical="top" wrapText="1"/>
    </xf>
    <xf numFmtId="0" fontId="42" fillId="4" borderId="56" xfId="709" applyFont="1" applyFill="1" applyBorder="1" applyAlignment="1">
      <alignment horizontal="left" vertical="top" wrapText="1"/>
    </xf>
    <xf numFmtId="167" fontId="40" fillId="0" borderId="0" xfId="773" applyFont="1" applyBorder="1" applyAlignment="1">
      <alignment wrapText="1"/>
    </xf>
    <xf numFmtId="4" fontId="40" fillId="0" borderId="0" xfId="709" applyNumberFormat="1" applyFont="1" applyBorder="1" applyAlignment="1">
      <alignment wrapText="1"/>
    </xf>
    <xf numFmtId="2" fontId="40" fillId="0" borderId="0" xfId="709" applyNumberFormat="1" applyFont="1" applyBorder="1" applyAlignment="1">
      <alignment wrapText="1"/>
    </xf>
    <xf numFmtId="0" fontId="42" fillId="3" borderId="0" xfId="709" applyFont="1" applyFill="1" applyBorder="1" applyAlignment="1">
      <alignment horizontal="left" vertical="top" wrapText="1"/>
    </xf>
    <xf numFmtId="0" fontId="40" fillId="0" borderId="0" xfId="709" applyFont="1"/>
    <xf numFmtId="10" fontId="38" fillId="3" borderId="0" xfId="774" applyNumberFormat="1" applyFont="1" applyFill="1" applyBorder="1" applyAlignment="1">
      <alignment horizontal="center" vertical="top"/>
    </xf>
    <xf numFmtId="14" fontId="38" fillId="3" borderId="0" xfId="0" applyNumberFormat="1" applyFont="1" applyFill="1" applyBorder="1" applyAlignment="1">
      <alignment horizontal="center"/>
    </xf>
    <xf numFmtId="2" fontId="38" fillId="3" borderId="0" xfId="0" applyNumberFormat="1" applyFont="1" applyFill="1" applyBorder="1" applyAlignment="1">
      <alignment horizontal="center"/>
    </xf>
    <xf numFmtId="0" fontId="38" fillId="3" borderId="0" xfId="0" applyFont="1" applyFill="1" applyBorder="1" applyAlignment="1"/>
    <xf numFmtId="14" fontId="38" fillId="3" borderId="0" xfId="0" applyNumberFormat="1" applyFont="1" applyFill="1" applyBorder="1" applyAlignment="1">
      <alignment horizontal="center" vertical="center" wrapText="1"/>
    </xf>
    <xf numFmtId="0" fontId="38" fillId="3" borderId="0" xfId="0" applyFont="1" applyFill="1" applyBorder="1" applyAlignment="1">
      <alignment horizontal="center"/>
    </xf>
    <xf numFmtId="4" fontId="38" fillId="3" borderId="0" xfId="0" applyNumberFormat="1" applyFont="1" applyFill="1" applyBorder="1" applyAlignment="1">
      <alignment horizontal="center"/>
    </xf>
    <xf numFmtId="0" fontId="40" fillId="3" borderId="0" xfId="709" applyFont="1" applyFill="1" applyBorder="1" applyAlignment="1">
      <alignment horizontal="center"/>
    </xf>
    <xf numFmtId="4" fontId="40" fillId="3" borderId="0" xfId="709" applyNumberFormat="1" applyFont="1" applyFill="1" applyBorder="1" applyAlignment="1">
      <alignment horizontal="center"/>
    </xf>
    <xf numFmtId="14" fontId="42" fillId="4" borderId="41" xfId="709" applyNumberFormat="1" applyFont="1" applyFill="1" applyBorder="1" applyAlignment="1">
      <alignment horizontal="center" vertical="top"/>
    </xf>
    <xf numFmtId="14" fontId="42" fillId="4" borderId="41" xfId="774" applyNumberFormat="1" applyFont="1" applyFill="1" applyBorder="1" applyAlignment="1">
      <alignment horizontal="center" vertical="top"/>
    </xf>
    <xf numFmtId="14" fontId="42" fillId="4" borderId="42" xfId="709" applyNumberFormat="1" applyFont="1" applyFill="1" applyBorder="1" applyAlignment="1">
      <alignment horizontal="center" vertical="top"/>
    </xf>
    <xf numFmtId="14" fontId="42" fillId="4" borderId="23" xfId="709" applyNumberFormat="1" applyFont="1" applyFill="1" applyBorder="1" applyAlignment="1">
      <alignment horizontal="center" vertical="top"/>
    </xf>
    <xf numFmtId="14" fontId="42" fillId="4" borderId="16" xfId="709" applyNumberFormat="1" applyFont="1" applyFill="1" applyBorder="1" applyAlignment="1">
      <alignment horizontal="center" vertical="top"/>
    </xf>
    <xf numFmtId="14" fontId="42" fillId="4" borderId="17" xfId="774" applyNumberFormat="1" applyFont="1" applyFill="1" applyBorder="1" applyAlignment="1">
      <alignment horizontal="center" vertical="top"/>
    </xf>
    <xf numFmtId="14" fontId="42" fillId="4" borderId="41" xfId="709" applyNumberFormat="1" applyFont="1" applyFill="1" applyBorder="1" applyAlignment="1">
      <alignment horizontal="center" vertical="top" wrapText="1"/>
    </xf>
    <xf numFmtId="14" fontId="42" fillId="4" borderId="51" xfId="709" applyNumberFormat="1" applyFont="1" applyFill="1" applyBorder="1" applyAlignment="1">
      <alignment horizontal="center" vertical="top" wrapText="1"/>
    </xf>
    <xf numFmtId="14" fontId="42" fillId="4" borderId="53" xfId="709" applyNumberFormat="1" applyFont="1" applyFill="1" applyBorder="1" applyAlignment="1">
      <alignment horizontal="center" vertical="top" wrapText="1"/>
    </xf>
    <xf numFmtId="0" fontId="40" fillId="4" borderId="34" xfId="709" applyFont="1" applyFill="1" applyBorder="1" applyAlignment="1">
      <alignment horizontal="left" vertical="center" wrapText="1"/>
    </xf>
    <xf numFmtId="0" fontId="40" fillId="4" borderId="21" xfId="709" applyFont="1" applyFill="1" applyBorder="1" applyAlignment="1">
      <alignment horizontal="left" vertical="center" wrapText="1"/>
    </xf>
    <xf numFmtId="0" fontId="40" fillId="4" borderId="62" xfId="709" applyFont="1" applyFill="1" applyBorder="1" applyAlignment="1">
      <alignment horizontal="left" vertical="top" wrapText="1"/>
    </xf>
    <xf numFmtId="0" fontId="40" fillId="4" borderId="50" xfId="709" applyFont="1" applyFill="1" applyBorder="1" applyAlignment="1">
      <alignment horizontal="left" vertical="top" wrapText="1"/>
    </xf>
    <xf numFmtId="0" fontId="42" fillId="4" borderId="34" xfId="709" applyFont="1" applyFill="1" applyBorder="1" applyAlignment="1">
      <alignment horizontal="left"/>
    </xf>
    <xf numFmtId="0" fontId="42" fillId="4" borderId="2" xfId="709" applyFont="1" applyFill="1" applyBorder="1"/>
    <xf numFmtId="14" fontId="42" fillId="4" borderId="51" xfId="0" applyNumberFormat="1" applyFont="1" applyFill="1" applyBorder="1" applyAlignment="1">
      <alignment horizontal="center"/>
    </xf>
    <xf numFmtId="14" fontId="42" fillId="4" borderId="41" xfId="0" applyNumberFormat="1" applyFont="1" applyFill="1" applyBorder="1" applyAlignment="1">
      <alignment horizontal="center"/>
    </xf>
    <xf numFmtId="14" fontId="42" fillId="4" borderId="53" xfId="0" applyNumberFormat="1" applyFont="1" applyFill="1" applyBorder="1" applyAlignment="1">
      <alignment horizontal="center"/>
    </xf>
    <xf numFmtId="0" fontId="42" fillId="4" borderId="44" xfId="709" applyFont="1" applyFill="1" applyBorder="1" applyAlignment="1">
      <alignment horizontal="left"/>
    </xf>
    <xf numFmtId="0" fontId="42" fillId="4" borderId="47" xfId="709" applyFont="1" applyFill="1" applyBorder="1"/>
    <xf numFmtId="0" fontId="42" fillId="4" borderId="44" xfId="709" applyFont="1" applyFill="1" applyBorder="1"/>
    <xf numFmtId="0" fontId="42" fillId="4" borderId="56" xfId="709" applyFont="1" applyFill="1" applyBorder="1" applyAlignment="1">
      <alignment horizontal="left"/>
    </xf>
    <xf numFmtId="0" fontId="42" fillId="4" borderId="48" xfId="709" applyFont="1" applyFill="1" applyBorder="1"/>
    <xf numFmtId="0" fontId="40" fillId="4" borderId="48" xfId="0" applyFont="1" applyFill="1" applyBorder="1" applyAlignment="1">
      <alignment horizontal="left" vertical="center" wrapText="1" shrinkToFit="1"/>
    </xf>
    <xf numFmtId="0" fontId="13" fillId="4" borderId="54" xfId="0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14" fontId="13" fillId="4" borderId="22" xfId="0" applyNumberFormat="1" applyFont="1" applyFill="1" applyBorder="1" applyAlignment="1">
      <alignment horizontal="center"/>
    </xf>
    <xf numFmtId="10" fontId="13" fillId="4" borderId="52" xfId="0" applyNumberFormat="1" applyFont="1" applyFill="1" applyBorder="1" applyAlignment="1">
      <alignment horizontal="left" vertical="center"/>
    </xf>
    <xf numFmtId="10" fontId="13" fillId="4" borderId="53" xfId="0" applyNumberFormat="1" applyFont="1" applyFill="1" applyBorder="1" applyAlignment="1">
      <alignment horizontal="left" vertical="center"/>
    </xf>
    <xf numFmtId="0" fontId="33" fillId="4" borderId="42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 vertical="center" wrapText="1"/>
    </xf>
    <xf numFmtId="9" fontId="13" fillId="4" borderId="54" xfId="0" applyNumberFormat="1" applyFont="1" applyFill="1" applyBorder="1" applyAlignment="1">
      <alignment horizontal="center" vertical="center" wrapText="1"/>
    </xf>
    <xf numFmtId="0" fontId="33" fillId="4" borderId="41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 vertical="center" wrapText="1"/>
    </xf>
    <xf numFmtId="14" fontId="13" fillId="4" borderId="54" xfId="0" applyNumberFormat="1" applyFont="1" applyFill="1" applyBorder="1" applyAlignment="1">
      <alignment horizontal="center" vertical="center" wrapText="1"/>
    </xf>
    <xf numFmtId="14" fontId="33" fillId="6" borderId="20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wrapText="1"/>
    </xf>
    <xf numFmtId="14" fontId="13" fillId="4" borderId="43" xfId="0" applyNumberFormat="1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/>
    </xf>
    <xf numFmtId="0" fontId="13" fillId="4" borderId="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13" fillId="4" borderId="11" xfId="0" applyFont="1" applyFill="1" applyBorder="1" applyAlignment="1">
      <alignment horizontal="center"/>
    </xf>
    <xf numFmtId="0" fontId="13" fillId="4" borderId="62" xfId="0" applyFont="1" applyFill="1" applyBorder="1" applyAlignment="1">
      <alignment horizontal="center"/>
    </xf>
    <xf numFmtId="0" fontId="13" fillId="4" borderId="49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68" xfId="0" applyFont="1" applyFill="1" applyBorder="1" applyAlignment="1">
      <alignment horizontal="center"/>
    </xf>
    <xf numFmtId="4" fontId="38" fillId="0" borderId="49" xfId="709" applyNumberFormat="1" applyFont="1" applyBorder="1" applyAlignment="1">
      <alignment horizontal="center" vertical="center" wrapText="1"/>
    </xf>
    <xf numFmtId="4" fontId="38" fillId="0" borderId="27" xfId="709" applyNumberFormat="1" applyFont="1" applyBorder="1" applyAlignment="1">
      <alignment horizontal="center" vertical="center" wrapText="1"/>
    </xf>
    <xf numFmtId="4" fontId="38" fillId="0" borderId="50" xfId="709" applyNumberFormat="1" applyFont="1" applyBorder="1" applyAlignment="1">
      <alignment horizontal="center" vertical="center" wrapText="1"/>
    </xf>
    <xf numFmtId="4" fontId="38" fillId="0" borderId="36" xfId="709" applyNumberFormat="1" applyFont="1" applyBorder="1" applyAlignment="1">
      <alignment horizontal="center" vertical="center" wrapText="1"/>
    </xf>
    <xf numFmtId="0" fontId="38" fillId="0" borderId="0" xfId="709" applyFont="1" applyBorder="1"/>
    <xf numFmtId="0" fontId="40" fillId="4" borderId="2" xfId="0" applyFont="1" applyFill="1" applyBorder="1" applyAlignment="1">
      <alignment vertical="center" wrapText="1" shrinkToFit="1"/>
    </xf>
    <xf numFmtId="4" fontId="14" fillId="0" borderId="15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/>
    </xf>
    <xf numFmtId="14" fontId="13" fillId="4" borderId="24" xfId="0" applyNumberFormat="1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47" xfId="0" applyNumberFormat="1" applyFont="1" applyBorder="1" applyAlignment="1">
      <alignment horizontal="center"/>
    </xf>
    <xf numFmtId="14" fontId="28" fillId="5" borderId="0" xfId="0" applyNumberFormat="1" applyFont="1" applyFill="1" applyBorder="1" applyAlignment="1">
      <alignment horizontal="center" vertical="center"/>
    </xf>
    <xf numFmtId="4" fontId="14" fillId="0" borderId="35" xfId="0" applyNumberFormat="1" applyFont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56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40" fillId="4" borderId="46" xfId="709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4" fontId="14" fillId="0" borderId="34" xfId="0" applyNumberFormat="1" applyFont="1" applyBorder="1" applyAlignment="1">
      <alignment horizontal="center"/>
    </xf>
    <xf numFmtId="4" fontId="14" fillId="0" borderId="48" xfId="0" applyNumberFormat="1" applyFont="1" applyBorder="1" applyAlignment="1">
      <alignment horizontal="center"/>
    </xf>
    <xf numFmtId="0" fontId="13" fillId="4" borderId="52" xfId="0" applyFont="1" applyFill="1" applyBorder="1" applyAlignment="1">
      <alignment horizontal="center" vertical="center"/>
    </xf>
    <xf numFmtId="4" fontId="14" fillId="0" borderId="5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24" xfId="0" applyNumberFormat="1" applyFont="1" applyBorder="1" applyAlignment="1">
      <alignment horizontal="center"/>
    </xf>
    <xf numFmtId="0" fontId="13" fillId="4" borderId="72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4" borderId="71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4" fontId="13" fillId="4" borderId="17" xfId="0" applyNumberFormat="1" applyFont="1" applyFill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/>
    </xf>
    <xf numFmtId="0" fontId="14" fillId="0" borderId="1" xfId="0" applyFont="1" applyBorder="1"/>
    <xf numFmtId="4" fontId="38" fillId="0" borderId="5" xfId="35" applyNumberFormat="1" applyFont="1" applyBorder="1" applyAlignment="1">
      <alignment horizontal="center"/>
    </xf>
    <xf numFmtId="4" fontId="14" fillId="0" borderId="8" xfId="0" applyNumberFormat="1" applyFont="1" applyBorder="1"/>
    <xf numFmtId="4" fontId="38" fillId="0" borderId="39" xfId="35" applyNumberFormat="1" applyFont="1" applyBorder="1" applyAlignment="1">
      <alignment horizontal="center"/>
    </xf>
    <xf numFmtId="4" fontId="14" fillId="0" borderId="37" xfId="0" applyNumberFormat="1" applyFont="1" applyBorder="1"/>
    <xf numFmtId="0" fontId="14" fillId="4" borderId="3" xfId="0" applyFont="1" applyFill="1" applyBorder="1" applyAlignment="1">
      <alignment horizontal="center"/>
    </xf>
    <xf numFmtId="0" fontId="14" fillId="4" borderId="7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2" fillId="4" borderId="18" xfId="0" applyFont="1" applyFill="1" applyBorder="1" applyAlignment="1">
      <alignment horizontal="center"/>
    </xf>
    <xf numFmtId="0" fontId="32" fillId="4" borderId="73" xfId="0" applyFont="1" applyFill="1" applyBorder="1" applyAlignment="1">
      <alignment horizontal="center"/>
    </xf>
    <xf numFmtId="4" fontId="14" fillId="0" borderId="12" xfId="0" applyNumberFormat="1" applyFont="1" applyBorder="1" applyAlignment="1">
      <alignment horizontal="right"/>
    </xf>
    <xf numFmtId="0" fontId="0" fillId="0" borderId="35" xfId="0" applyBorder="1" applyAlignment="1">
      <alignment horizontal="center"/>
    </xf>
    <xf numFmtId="0" fontId="0" fillId="0" borderId="74" xfId="0" applyBorder="1" applyAlignment="1">
      <alignment horizontal="center"/>
    </xf>
    <xf numFmtId="4" fontId="14" fillId="0" borderId="74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73" xfId="0" applyBorder="1" applyAlignment="1">
      <alignment horizontal="right"/>
    </xf>
    <xf numFmtId="4" fontId="14" fillId="0" borderId="49" xfId="0" applyNumberFormat="1" applyFont="1" applyBorder="1" applyAlignment="1">
      <alignment horizontal="right"/>
    </xf>
    <xf numFmtId="4" fontId="14" fillId="0" borderId="68" xfId="0" applyNumberFormat="1" applyFont="1" applyBorder="1" applyAlignment="1">
      <alignment horizontal="right"/>
    </xf>
    <xf numFmtId="4" fontId="32" fillId="0" borderId="25" xfId="0" applyNumberFormat="1" applyFont="1" applyBorder="1" applyAlignment="1">
      <alignment horizontal="right"/>
    </xf>
    <xf numFmtId="4" fontId="32" fillId="0" borderId="26" xfId="0" applyNumberFormat="1" applyFont="1" applyBorder="1" applyAlignment="1">
      <alignment horizontal="right"/>
    </xf>
    <xf numFmtId="4" fontId="0" fillId="0" borderId="26" xfId="0" applyNumberFormat="1" applyFont="1" applyBorder="1"/>
    <xf numFmtId="0" fontId="0" fillId="0" borderId="3" xfId="0" applyFont="1" applyBorder="1"/>
    <xf numFmtId="0" fontId="0" fillId="0" borderId="26" xfId="0" applyFont="1" applyBorder="1"/>
    <xf numFmtId="0" fontId="0" fillId="0" borderId="33" xfId="0" applyFont="1" applyBorder="1"/>
    <xf numFmtId="0" fontId="13" fillId="4" borderId="43" xfId="0" applyFont="1" applyFill="1" applyBorder="1" applyAlignment="1">
      <alignment horizontal="center"/>
    </xf>
    <xf numFmtId="0" fontId="40" fillId="3" borderId="0" xfId="709" applyFill="1"/>
    <xf numFmtId="4" fontId="40" fillId="3" borderId="0" xfId="709" applyNumberFormat="1" applyFill="1"/>
    <xf numFmtId="0" fontId="23" fillId="3" borderId="0" xfId="0" applyFont="1" applyFill="1" applyBorder="1" applyAlignment="1">
      <alignment wrapText="1"/>
    </xf>
    <xf numFmtId="0" fontId="23" fillId="3" borderId="0" xfId="0" applyFont="1" applyFill="1" applyBorder="1" applyAlignment="1"/>
    <xf numFmtId="0" fontId="10" fillId="4" borderId="5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2" fontId="12" fillId="3" borderId="0" xfId="0" applyNumberFormat="1" applyFont="1" applyFill="1" applyBorder="1" applyAlignment="1">
      <alignment vertical="center" wrapText="1"/>
    </xf>
    <xf numFmtId="0" fontId="13" fillId="4" borderId="16" xfId="0" applyFont="1" applyFill="1" applyBorder="1" applyAlignment="1">
      <alignment horizontal="center" wrapText="1"/>
    </xf>
    <xf numFmtId="0" fontId="13" fillId="4" borderId="42" xfId="0" applyFont="1" applyFill="1" applyBorder="1" applyAlignment="1">
      <alignment horizontal="center" wrapText="1"/>
    </xf>
    <xf numFmtId="0" fontId="13" fillId="4" borderId="51" xfId="0" applyFont="1" applyFill="1" applyBorder="1" applyAlignment="1">
      <alignment horizontal="center" vertical="center" wrapText="1"/>
    </xf>
    <xf numFmtId="10" fontId="13" fillId="4" borderId="52" xfId="0" applyNumberFormat="1" applyFont="1" applyFill="1" applyBorder="1" applyAlignment="1">
      <alignment vertical="center"/>
    </xf>
    <xf numFmtId="2" fontId="40" fillId="3" borderId="0" xfId="709" applyNumberFormat="1" applyFill="1" applyBorder="1"/>
    <xf numFmtId="4" fontId="14" fillId="3" borderId="0" xfId="0" applyNumberFormat="1" applyFont="1" applyFill="1" applyBorder="1" applyAlignment="1"/>
    <xf numFmtId="0" fontId="13" fillId="4" borderId="23" xfId="0" applyFont="1" applyFill="1" applyBorder="1" applyAlignment="1">
      <alignment horizontal="center" wrapText="1"/>
    </xf>
    <xf numFmtId="10" fontId="13" fillId="3" borderId="0" xfId="0" applyNumberFormat="1" applyFont="1" applyFill="1" applyBorder="1" applyAlignment="1">
      <alignment vertical="center"/>
    </xf>
    <xf numFmtId="10" fontId="13" fillId="3" borderId="0" xfId="0" applyNumberFormat="1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center"/>
    </xf>
    <xf numFmtId="0" fontId="13" fillId="4" borderId="53" xfId="0" applyFont="1" applyFill="1" applyBorder="1" applyAlignment="1">
      <alignment vertical="center"/>
    </xf>
    <xf numFmtId="0" fontId="14" fillId="4" borderId="44" xfId="0" applyFont="1" applyFill="1" applyBorder="1" applyAlignment="1">
      <alignment horizontal="center"/>
    </xf>
    <xf numFmtId="0" fontId="38" fillId="0" borderId="0" xfId="709" applyFont="1" applyAlignment="1">
      <alignment wrapTex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vertical="center" wrapText="1" shrinkToFit="1"/>
    </xf>
    <xf numFmtId="0" fontId="33" fillId="6" borderId="16" xfId="0" applyFont="1" applyFill="1" applyBorder="1" applyAlignment="1">
      <alignment vertical="center"/>
    </xf>
    <xf numFmtId="4" fontId="14" fillId="0" borderId="62" xfId="0" applyNumberFormat="1" applyFont="1" applyBorder="1" applyAlignment="1">
      <alignment horizontal="center" vertical="center"/>
    </xf>
    <xf numFmtId="3" fontId="14" fillId="0" borderId="62" xfId="0" quotePrefix="1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4" fontId="32" fillId="0" borderId="62" xfId="0" applyNumberFormat="1" applyFont="1" applyBorder="1" applyAlignment="1">
      <alignment horizontal="center"/>
    </xf>
    <xf numFmtId="4" fontId="32" fillId="0" borderId="46" xfId="0" applyNumberFormat="1" applyFont="1" applyBorder="1" applyAlignment="1">
      <alignment horizontal="center"/>
    </xf>
    <xf numFmtId="4" fontId="32" fillId="0" borderId="43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4" fontId="32" fillId="0" borderId="24" xfId="0" applyNumberFormat="1" applyFont="1" applyBorder="1" applyAlignment="1">
      <alignment horizontal="center"/>
    </xf>
    <xf numFmtId="4" fontId="14" fillId="0" borderId="40" xfId="0" applyNumberFormat="1" applyFont="1" applyBorder="1" applyAlignment="1">
      <alignment horizontal="center"/>
    </xf>
    <xf numFmtId="0" fontId="33" fillId="8" borderId="17" xfId="0" applyFont="1" applyFill="1" applyBorder="1" applyAlignment="1">
      <alignment horizontal="center" wrapText="1"/>
    </xf>
    <xf numFmtId="14" fontId="33" fillId="8" borderId="43" xfId="0" applyNumberFormat="1" applyFont="1" applyFill="1" applyBorder="1" applyAlignment="1">
      <alignment horizontal="center"/>
    </xf>
    <xf numFmtId="0" fontId="33" fillId="6" borderId="41" xfId="0" applyFont="1" applyFill="1" applyBorder="1" applyAlignment="1">
      <alignment horizontal="center" vertical="center"/>
    </xf>
    <xf numFmtId="3" fontId="33" fillId="6" borderId="52" xfId="0" applyNumberFormat="1" applyFont="1" applyFill="1" applyBorder="1" applyAlignment="1">
      <alignment horizontal="center" vertical="center"/>
    </xf>
    <xf numFmtId="4" fontId="33" fillId="6" borderId="53" xfId="0" applyNumberFormat="1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3" fontId="13" fillId="4" borderId="41" xfId="0" applyNumberFormat="1" applyFont="1" applyFill="1" applyBorder="1" applyAlignment="1">
      <alignment horizontal="center" vertical="center"/>
    </xf>
    <xf numFmtId="4" fontId="13" fillId="4" borderId="41" xfId="0" applyNumberFormat="1" applyFont="1" applyFill="1" applyBorder="1" applyAlignment="1">
      <alignment horizontal="center" vertical="center"/>
    </xf>
    <xf numFmtId="0" fontId="55" fillId="4" borderId="62" xfId="709" applyFont="1" applyFill="1" applyBorder="1" applyAlignment="1">
      <alignment horizontal="center" vertical="center" wrapText="1"/>
    </xf>
    <xf numFmtId="10" fontId="55" fillId="4" borderId="45" xfId="774" applyNumberFormat="1" applyFont="1" applyFill="1" applyBorder="1" applyAlignment="1">
      <alignment horizontal="center" vertical="center"/>
    </xf>
    <xf numFmtId="0" fontId="49" fillId="4" borderId="62" xfId="709" applyFont="1" applyFill="1" applyBorder="1" applyAlignment="1">
      <alignment horizontal="center" vertical="top" wrapText="1"/>
    </xf>
    <xf numFmtId="0" fontId="49" fillId="4" borderId="2" xfId="709" applyFont="1" applyFill="1" applyBorder="1" applyAlignment="1">
      <alignment horizontal="center" vertical="top" wrapText="1"/>
    </xf>
    <xf numFmtId="0" fontId="49" fillId="4" borderId="45" xfId="709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14" fontId="11" fillId="4" borderId="9" xfId="0" applyNumberFormat="1" applyFont="1" applyFill="1" applyBorder="1" applyAlignment="1">
      <alignment horizontal="center"/>
    </xf>
    <xf numFmtId="14" fontId="11" fillId="4" borderId="11" xfId="0" applyNumberFormat="1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14" fontId="11" fillId="4" borderId="36" xfId="0" applyNumberFormat="1" applyFont="1" applyFill="1" applyBorder="1" applyAlignment="1">
      <alignment horizontal="center"/>
    </xf>
    <xf numFmtId="0" fontId="42" fillId="4" borderId="62" xfId="709" applyFont="1" applyFill="1" applyBorder="1" applyAlignment="1">
      <alignment horizontal="center" vertical="center" wrapText="1"/>
    </xf>
    <xf numFmtId="0" fontId="42" fillId="4" borderId="2" xfId="709" applyFont="1" applyFill="1" applyBorder="1" applyAlignment="1">
      <alignment horizontal="center" vertical="center" wrapText="1"/>
    </xf>
    <xf numFmtId="0" fontId="42" fillId="4" borderId="45" xfId="709" applyFont="1" applyFill="1" applyBorder="1" applyAlignment="1">
      <alignment horizontal="center" vertical="center" wrapText="1"/>
    </xf>
    <xf numFmtId="0" fontId="42" fillId="4" borderId="13" xfId="709" applyFont="1" applyFill="1" applyBorder="1" applyAlignment="1">
      <alignment horizontal="center" vertical="center" wrapText="1"/>
    </xf>
    <xf numFmtId="0" fontId="42" fillId="4" borderId="34" xfId="709" applyFont="1" applyFill="1" applyBorder="1" applyAlignment="1">
      <alignment horizontal="center" vertical="center" wrapText="1"/>
    </xf>
    <xf numFmtId="0" fontId="42" fillId="4" borderId="46" xfId="709" applyFont="1" applyFill="1" applyBorder="1" applyAlignment="1">
      <alignment horizontal="center" vertical="center" wrapText="1"/>
    </xf>
    <xf numFmtId="10" fontId="42" fillId="4" borderId="46" xfId="774" applyNumberFormat="1" applyFont="1" applyFill="1" applyBorder="1" applyAlignment="1">
      <alignment horizontal="center" vertical="center"/>
    </xf>
    <xf numFmtId="2" fontId="14" fillId="3" borderId="57" xfId="0" applyNumberFormat="1" applyFont="1" applyFill="1" applyBorder="1" applyAlignment="1">
      <alignment horizontal="center" vertical="center" wrapText="1"/>
    </xf>
    <xf numFmtId="4" fontId="38" fillId="3" borderId="46" xfId="709" applyNumberFormat="1" applyFont="1" applyFill="1" applyBorder="1" applyAlignment="1">
      <alignment horizontal="center" vertical="center"/>
    </xf>
    <xf numFmtId="4" fontId="38" fillId="3" borderId="50" xfId="709" applyNumberFormat="1" applyFont="1" applyFill="1" applyBorder="1" applyAlignment="1">
      <alignment horizontal="center" vertical="center"/>
    </xf>
    <xf numFmtId="4" fontId="38" fillId="3" borderId="49" xfId="709" applyNumberFormat="1" applyFont="1" applyFill="1" applyBorder="1" applyAlignment="1">
      <alignment horizontal="center" vertical="center"/>
    </xf>
    <xf numFmtId="0" fontId="38" fillId="4" borderId="49" xfId="709" applyFont="1" applyFill="1" applyBorder="1" applyAlignment="1">
      <alignment horizontal="center"/>
    </xf>
    <xf numFmtId="4" fontId="38" fillId="0" borderId="47" xfId="709" applyNumberFormat="1" applyFont="1" applyBorder="1" applyAlignment="1">
      <alignment horizontal="center"/>
    </xf>
    <xf numFmtId="0" fontId="38" fillId="4" borderId="50" xfId="709" applyFont="1" applyFill="1" applyBorder="1" applyAlignment="1">
      <alignment horizontal="center"/>
    </xf>
    <xf numFmtId="4" fontId="38" fillId="0" borderId="48" xfId="709" applyNumberFormat="1" applyFont="1" applyBorder="1" applyAlignment="1">
      <alignment horizontal="center"/>
    </xf>
    <xf numFmtId="4" fontId="38" fillId="3" borderId="43" xfId="709" applyNumberFormat="1" applyFont="1" applyFill="1" applyBorder="1" applyAlignment="1">
      <alignment horizontal="center" vertical="center"/>
    </xf>
    <xf numFmtId="0" fontId="10" fillId="4" borderId="51" xfId="0" applyFont="1" applyFill="1" applyBorder="1" applyAlignment="1">
      <alignment vertical="center"/>
    </xf>
    <xf numFmtId="0" fontId="10" fillId="4" borderId="52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0" fontId="49" fillId="0" borderId="0" xfId="709" applyFont="1" applyBorder="1" applyAlignment="1"/>
    <xf numFmtId="169" fontId="40" fillId="3" borderId="0" xfId="775" applyNumberFormat="1" applyFont="1" applyFill="1" applyBorder="1" applyAlignment="1"/>
    <xf numFmtId="4" fontId="40" fillId="0" borderId="62" xfId="773" applyNumberFormat="1" applyFont="1" applyBorder="1" applyAlignment="1">
      <alignment horizontal="center" wrapText="1"/>
    </xf>
    <xf numFmtId="4" fontId="40" fillId="0" borderId="14" xfId="773" applyNumberFormat="1" applyFont="1" applyBorder="1" applyAlignment="1">
      <alignment horizontal="center" wrapText="1"/>
    </xf>
    <xf numFmtId="4" fontId="40" fillId="0" borderId="62" xfId="709" applyNumberFormat="1" applyFont="1" applyBorder="1" applyAlignment="1">
      <alignment horizontal="center" wrapText="1"/>
    </xf>
    <xf numFmtId="4" fontId="40" fillId="0" borderId="13" xfId="709" applyNumberFormat="1" applyFont="1" applyBorder="1" applyAlignment="1">
      <alignment horizontal="center" wrapText="1"/>
    </xf>
    <xf numFmtId="4" fontId="40" fillId="0" borderId="15" xfId="709" applyNumberFormat="1" applyFont="1" applyBorder="1" applyAlignment="1">
      <alignment horizontal="center" wrapText="1"/>
    </xf>
    <xf numFmtId="4" fontId="40" fillId="0" borderId="49" xfId="773" applyNumberFormat="1" applyFont="1" applyBorder="1" applyAlignment="1">
      <alignment horizontal="center" wrapText="1"/>
    </xf>
    <xf numFmtId="4" fontId="40" fillId="0" borderId="47" xfId="773" applyNumberFormat="1" applyFont="1" applyBorder="1" applyAlignment="1">
      <alignment horizontal="center" wrapText="1"/>
    </xf>
    <xf numFmtId="4" fontId="40" fillId="0" borderId="27" xfId="709" applyNumberFormat="1" applyFont="1" applyBorder="1" applyAlignment="1">
      <alignment horizontal="center" wrapText="1"/>
    </xf>
    <xf numFmtId="4" fontId="40" fillId="0" borderId="50" xfId="773" applyNumberFormat="1" applyFont="1" applyBorder="1" applyAlignment="1">
      <alignment horizontal="center" wrapText="1"/>
    </xf>
    <xf numFmtId="4" fontId="40" fillId="0" borderId="48" xfId="773" applyNumberFormat="1" applyFont="1" applyBorder="1" applyAlignment="1">
      <alignment horizontal="center" wrapText="1"/>
    </xf>
    <xf numFmtId="4" fontId="40" fillId="0" borderId="36" xfId="709" applyNumberFormat="1" applyFont="1" applyBorder="1" applyAlignment="1">
      <alignment horizontal="center" wrapText="1"/>
    </xf>
    <xf numFmtId="2" fontId="40" fillId="3" borderId="46" xfId="0" applyNumberFormat="1" applyFont="1" applyFill="1" applyBorder="1" applyAlignment="1">
      <alignment horizontal="center" vertical="center" wrapText="1" shrinkToFit="1"/>
    </xf>
    <xf numFmtId="2" fontId="40" fillId="0" borderId="46" xfId="0" applyNumberFormat="1" applyFont="1" applyBorder="1" applyAlignment="1">
      <alignment horizontal="center"/>
    </xf>
    <xf numFmtId="2" fontId="40" fillId="0" borderId="45" xfId="0" applyNumberFormat="1" applyFont="1" applyBorder="1" applyAlignment="1">
      <alignment horizontal="center"/>
    </xf>
    <xf numFmtId="2" fontId="40" fillId="3" borderId="49" xfId="0" applyNumberFormat="1" applyFont="1" applyFill="1" applyBorder="1" applyAlignment="1">
      <alignment horizontal="center" vertical="center" wrapText="1" shrinkToFit="1"/>
    </xf>
    <xf numFmtId="2" fontId="40" fillId="0" borderId="49" xfId="0" applyNumberFormat="1" applyFont="1" applyBorder="1" applyAlignment="1">
      <alignment horizontal="center"/>
    </xf>
    <xf numFmtId="2" fontId="40" fillId="0" borderId="27" xfId="0" applyNumberFormat="1" applyFont="1" applyBorder="1" applyAlignment="1">
      <alignment horizontal="center"/>
    </xf>
    <xf numFmtId="2" fontId="40" fillId="3" borderId="50" xfId="0" applyNumberFormat="1" applyFont="1" applyFill="1" applyBorder="1" applyAlignment="1">
      <alignment horizontal="center" vertical="center" wrapText="1" shrinkToFit="1"/>
    </xf>
    <xf numFmtId="2" fontId="40" fillId="0" borderId="50" xfId="0" applyNumberFormat="1" applyFont="1" applyBorder="1" applyAlignment="1">
      <alignment horizontal="center"/>
    </xf>
    <xf numFmtId="2" fontId="40" fillId="0" borderId="36" xfId="0" applyNumberFormat="1" applyFont="1" applyBorder="1" applyAlignment="1">
      <alignment horizontal="center"/>
    </xf>
    <xf numFmtId="4" fontId="40" fillId="0" borderId="46" xfId="773" applyNumberFormat="1" applyFont="1" applyBorder="1" applyAlignment="1">
      <alignment horizontal="center" wrapText="1"/>
    </xf>
    <xf numFmtId="4" fontId="40" fillId="0" borderId="46" xfId="709" applyNumberFormat="1" applyFont="1" applyBorder="1" applyAlignment="1">
      <alignment horizontal="center" wrapText="1"/>
    </xf>
    <xf numFmtId="4" fontId="40" fillId="0" borderId="34" xfId="0" applyNumberFormat="1" applyFont="1" applyBorder="1" applyAlignment="1">
      <alignment horizontal="center"/>
    </xf>
    <xf numFmtId="4" fontId="40" fillId="0" borderId="46" xfId="0" applyNumberFormat="1" applyFont="1" applyBorder="1" applyAlignment="1">
      <alignment horizontal="center"/>
    </xf>
    <xf numFmtId="4" fontId="40" fillId="0" borderId="45" xfId="0" applyNumberFormat="1" applyFont="1" applyBorder="1" applyAlignment="1">
      <alignment horizontal="center"/>
    </xf>
    <xf numFmtId="4" fontId="40" fillId="0" borderId="44" xfId="0" applyNumberFormat="1" applyFont="1" applyBorder="1" applyAlignment="1">
      <alignment horizontal="center"/>
    </xf>
    <xf numFmtId="4" fontId="40" fillId="0" borderId="27" xfId="0" applyNumberFormat="1" applyFont="1" applyBorder="1" applyAlignment="1">
      <alignment horizontal="center"/>
    </xf>
    <xf numFmtId="4" fontId="40" fillId="0" borderId="56" xfId="0" applyNumberFormat="1" applyFont="1" applyBorder="1" applyAlignment="1">
      <alignment horizontal="center"/>
    </xf>
    <xf numFmtId="4" fontId="40" fillId="0" borderId="50" xfId="0" applyNumberFormat="1" applyFont="1" applyBorder="1" applyAlignment="1">
      <alignment horizontal="center"/>
    </xf>
    <xf numFmtId="4" fontId="40" fillId="0" borderId="36" xfId="0" applyNumberFormat="1" applyFont="1" applyBorder="1" applyAlignment="1">
      <alignment horizontal="center"/>
    </xf>
    <xf numFmtId="4" fontId="40" fillId="3" borderId="24" xfId="773" applyNumberFormat="1" applyFont="1" applyFill="1" applyBorder="1" applyAlignment="1">
      <alignment horizontal="center" wrapText="1"/>
    </xf>
    <xf numFmtId="4" fontId="40" fillId="3" borderId="43" xfId="773" applyNumberFormat="1" applyFont="1" applyFill="1" applyBorder="1" applyAlignment="1">
      <alignment horizontal="center" wrapText="1"/>
    </xf>
    <xf numFmtId="4" fontId="40" fillId="3" borderId="22" xfId="773" applyNumberFormat="1" applyFont="1" applyFill="1" applyBorder="1" applyAlignment="1">
      <alignment horizontal="center"/>
    </xf>
    <xf numFmtId="4" fontId="40" fillId="0" borderId="46" xfId="773" applyNumberFormat="1" applyFont="1" applyBorder="1" applyAlignment="1">
      <alignment horizontal="center" vertical="center" wrapText="1"/>
    </xf>
    <xf numFmtId="4" fontId="40" fillId="0" borderId="43" xfId="773" applyNumberFormat="1" applyFont="1" applyBorder="1" applyAlignment="1">
      <alignment horizontal="center" vertical="center" wrapText="1"/>
    </xf>
    <xf numFmtId="4" fontId="38" fillId="0" borderId="46" xfId="773" applyNumberFormat="1" applyFont="1" applyBorder="1" applyAlignment="1">
      <alignment horizontal="center" vertical="center" wrapText="1"/>
    </xf>
    <xf numFmtId="4" fontId="38" fillId="0" borderId="43" xfId="773" applyNumberFormat="1" applyFont="1" applyBorder="1" applyAlignment="1">
      <alignment horizontal="center" vertical="center" wrapText="1"/>
    </xf>
    <xf numFmtId="4" fontId="38" fillId="3" borderId="48" xfId="773" applyNumberFormat="1" applyFont="1" applyFill="1" applyBorder="1" applyAlignment="1">
      <alignment horizontal="center" wrapText="1"/>
    </xf>
    <xf numFmtId="4" fontId="38" fillId="3" borderId="50" xfId="773" applyNumberFormat="1" applyFont="1" applyFill="1" applyBorder="1" applyAlignment="1">
      <alignment horizontal="center" wrapText="1"/>
    </xf>
    <xf numFmtId="4" fontId="38" fillId="3" borderId="36" xfId="773" applyNumberFormat="1" applyFont="1" applyFill="1" applyBorder="1" applyAlignment="1">
      <alignment horizontal="center" wrapText="1"/>
    </xf>
    <xf numFmtId="0" fontId="42" fillId="3" borderId="0" xfId="709" applyFont="1" applyFill="1" applyBorder="1" applyAlignment="1">
      <alignment horizontal="left"/>
    </xf>
    <xf numFmtId="0" fontId="42" fillId="3" borderId="0" xfId="709" applyFont="1" applyFill="1" applyBorder="1"/>
    <xf numFmtId="0" fontId="38" fillId="0" borderId="0" xfId="709" applyFont="1" applyAlignment="1">
      <alignment horizontal="left"/>
    </xf>
    <xf numFmtId="0" fontId="49" fillId="0" borderId="0" xfId="709" applyFont="1" applyAlignment="1">
      <alignment horizontal="left" vertical="top"/>
    </xf>
    <xf numFmtId="4" fontId="40" fillId="3" borderId="24" xfId="773" applyNumberFormat="1" applyFont="1" applyFill="1" applyBorder="1" applyAlignment="1">
      <alignment horizontal="center" vertical="center" wrapText="1"/>
    </xf>
    <xf numFmtId="4" fontId="40" fillId="3" borderId="43" xfId="773" applyNumberFormat="1" applyFont="1" applyFill="1" applyBorder="1" applyAlignment="1">
      <alignment horizontal="center" vertical="center" wrapText="1"/>
    </xf>
    <xf numFmtId="4" fontId="40" fillId="3" borderId="22" xfId="773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center"/>
    </xf>
    <xf numFmtId="0" fontId="56" fillId="4" borderId="23" xfId="709" applyFont="1" applyFill="1" applyBorder="1" applyAlignment="1"/>
    <xf numFmtId="0" fontId="38" fillId="4" borderId="0" xfId="709" applyFont="1" applyFill="1" applyBorder="1" applyAlignment="1"/>
    <xf numFmtId="2" fontId="12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/>
    <xf numFmtId="0" fontId="11" fillId="3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6" fillId="2" borderId="58" xfId="0" applyFont="1" applyFill="1" applyBorder="1" applyAlignment="1">
      <alignment vertical="center" wrapText="1"/>
    </xf>
    <xf numFmtId="0" fontId="26" fillId="2" borderId="31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56" fillId="4" borderId="52" xfId="709" applyFont="1" applyFill="1" applyBorder="1" applyAlignment="1"/>
    <xf numFmtId="0" fontId="38" fillId="2" borderId="14" xfId="709" applyFont="1" applyFill="1" applyBorder="1" applyAlignment="1"/>
    <xf numFmtId="0" fontId="38" fillId="2" borderId="47" xfId="709" applyFont="1" applyFill="1" applyBorder="1" applyAlignment="1"/>
    <xf numFmtId="0" fontId="38" fillId="2" borderId="48" xfId="709" applyFont="1" applyFill="1" applyBorder="1" applyAlignment="1"/>
    <xf numFmtId="0" fontId="38" fillId="2" borderId="14" xfId="709" applyFont="1" applyFill="1" applyBorder="1" applyAlignment="1">
      <alignment wrapText="1"/>
    </xf>
    <xf numFmtId="0" fontId="38" fillId="4" borderId="47" xfId="709" applyFont="1" applyFill="1" applyBorder="1" applyAlignment="1"/>
    <xf numFmtId="0" fontId="12" fillId="3" borderId="23" xfId="0" applyFont="1" applyFill="1" applyBorder="1" applyAlignment="1">
      <alignment horizontal="left"/>
    </xf>
    <xf numFmtId="0" fontId="12" fillId="3" borderId="23" xfId="0" applyFont="1" applyFill="1" applyBorder="1" applyAlignment="1">
      <alignment horizont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3" borderId="17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0" fontId="12" fillId="3" borderId="24" xfId="0" applyFont="1" applyFill="1" applyBorder="1" applyAlignment="1"/>
    <xf numFmtId="0" fontId="12" fillId="3" borderId="22" xfId="0" applyFont="1" applyFill="1" applyBorder="1" applyAlignment="1"/>
    <xf numFmtId="0" fontId="0" fillId="0" borderId="33" xfId="0" applyBorder="1"/>
    <xf numFmtId="0" fontId="0" fillId="0" borderId="3" xfId="0" applyBorder="1"/>
    <xf numFmtId="0" fontId="0" fillId="0" borderId="18" xfId="0" applyBorder="1"/>
    <xf numFmtId="0" fontId="11" fillId="3" borderId="23" xfId="0" applyFont="1" applyFill="1" applyBorder="1" applyAlignment="1">
      <alignment horizontal="left"/>
    </xf>
    <xf numFmtId="0" fontId="38" fillId="0" borderId="0" xfId="709" applyFont="1" applyBorder="1" applyAlignment="1"/>
    <xf numFmtId="0" fontId="14" fillId="3" borderId="19" xfId="0" applyFont="1" applyFill="1" applyBorder="1" applyAlignment="1">
      <alignment horizontal="left" vertical="center" wrapText="1" shrinkToFit="1"/>
    </xf>
    <xf numFmtId="0" fontId="14" fillId="3" borderId="24" xfId="0" applyFont="1" applyFill="1" applyBorder="1" applyAlignment="1">
      <alignment horizontal="left" vertical="center" wrapText="1" shrinkToFit="1"/>
    </xf>
    <xf numFmtId="0" fontId="14" fillId="3" borderId="24" xfId="0" applyFont="1" applyFill="1" applyBorder="1" applyAlignment="1">
      <alignment vertical="center" wrapText="1" shrinkToFi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4" fontId="14" fillId="0" borderId="22" xfId="0" applyNumberFormat="1" applyFont="1" applyBorder="1" applyAlignment="1">
      <alignment horizontal="center"/>
    </xf>
    <xf numFmtId="0" fontId="49" fillId="0" borderId="0" xfId="709" applyFont="1" applyAlignment="1">
      <alignment horizontal="center"/>
    </xf>
    <xf numFmtId="0" fontId="36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40" fillId="4" borderId="47" xfId="0" applyFont="1" applyFill="1" applyBorder="1" applyAlignment="1">
      <alignment horizontal="left" vertical="center" wrapText="1" shrinkToFit="1"/>
    </xf>
    <xf numFmtId="0" fontId="12" fillId="3" borderId="0" xfId="0" applyFont="1" applyFill="1" applyBorder="1" applyAlignment="1">
      <alignment vertical="center" wrapText="1"/>
    </xf>
    <xf numFmtId="0" fontId="62" fillId="2" borderId="63" xfId="0" applyFont="1" applyFill="1" applyBorder="1" applyAlignment="1">
      <alignment horizontal="center" vertical="center"/>
    </xf>
    <xf numFmtId="0" fontId="62" fillId="2" borderId="63" xfId="0" applyFont="1" applyFill="1" applyBorder="1" applyAlignment="1">
      <alignment horizontal="center" vertical="center" wrapText="1"/>
    </xf>
    <xf numFmtId="0" fontId="62" fillId="2" borderId="77" xfId="0" applyFont="1" applyFill="1" applyBorder="1" applyAlignment="1">
      <alignment horizontal="center" vertical="center" wrapText="1"/>
    </xf>
    <xf numFmtId="0" fontId="43" fillId="0" borderId="0" xfId="709" applyFont="1" applyBorder="1"/>
    <xf numFmtId="0" fontId="55" fillId="4" borderId="34" xfId="709" applyFont="1" applyFill="1" applyBorder="1" applyAlignment="1">
      <alignment horizontal="center" vertical="center" wrapText="1"/>
    </xf>
    <xf numFmtId="0" fontId="55" fillId="4" borderId="46" xfId="709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vertical="center" wrapText="1" shrinkToFit="1"/>
    </xf>
    <xf numFmtId="0" fontId="14" fillId="4" borderId="15" xfId="0" applyFont="1" applyFill="1" applyBorder="1" applyAlignment="1">
      <alignment vertical="center" wrapText="1" shrinkToFit="1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14" fontId="14" fillId="3" borderId="0" xfId="0" applyNumberFormat="1" applyFont="1" applyFill="1" applyBorder="1" applyAlignment="1">
      <alignment horizontal="left" vertical="top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45" xfId="0" applyNumberFormat="1" applyFont="1" applyBorder="1" applyAlignment="1">
      <alignment horizontal="center"/>
    </xf>
    <xf numFmtId="0" fontId="14" fillId="4" borderId="47" xfId="0" applyFont="1" applyFill="1" applyBorder="1" applyAlignment="1">
      <alignment horizontal="left" vertical="center" wrapText="1" shrinkToFit="1"/>
    </xf>
    <xf numFmtId="4" fontId="14" fillId="0" borderId="22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43" fillId="0" borderId="24" xfId="709" applyFont="1" applyBorder="1" applyAlignment="1"/>
    <xf numFmtId="0" fontId="12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36" xfId="0" applyFont="1" applyFill="1" applyBorder="1" applyAlignment="1">
      <alignment horizontal="left"/>
    </xf>
    <xf numFmtId="0" fontId="14" fillId="4" borderId="62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4" fillId="3" borderId="23" xfId="0" applyFont="1" applyFill="1" applyBorder="1" applyAlignment="1">
      <alignment horizontal="left"/>
    </xf>
    <xf numFmtId="0" fontId="33" fillId="0" borderId="19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4" fontId="14" fillId="3" borderId="19" xfId="0" applyNumberFormat="1" applyFont="1" applyFill="1" applyBorder="1" applyAlignment="1">
      <alignment horizontal="center" vertical="center"/>
    </xf>
    <xf numFmtId="4" fontId="14" fillId="3" borderId="20" xfId="0" applyNumberFormat="1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left" vertical="top" wrapText="1"/>
    </xf>
    <xf numFmtId="0" fontId="3" fillId="0" borderId="20" xfId="0" applyFont="1" applyBorder="1"/>
    <xf numFmtId="0" fontId="12" fillId="3" borderId="22" xfId="0" applyFont="1" applyFill="1" applyBorder="1"/>
    <xf numFmtId="0" fontId="14" fillId="0" borderId="4" xfId="0" applyFont="1" applyBorder="1"/>
    <xf numFmtId="0" fontId="14" fillId="0" borderId="5" xfId="0" applyFont="1" applyBorder="1"/>
    <xf numFmtId="0" fontId="12" fillId="3" borderId="9" xfId="0" applyFont="1" applyFill="1" applyBorder="1"/>
    <xf numFmtId="0" fontId="12" fillId="3" borderId="10" xfId="0" applyFont="1" applyFill="1" applyBorder="1"/>
    <xf numFmtId="3" fontId="12" fillId="3" borderId="18" xfId="0" applyNumberFormat="1" applyFont="1" applyFill="1" applyBorder="1"/>
    <xf numFmtId="0" fontId="14" fillId="0" borderId="6" xfId="0" applyFont="1" applyBorder="1"/>
    <xf numFmtId="0" fontId="12" fillId="3" borderId="11" xfId="0" applyFont="1" applyFill="1" applyBorder="1"/>
    <xf numFmtId="3" fontId="14" fillId="0" borderId="26" xfId="0" applyNumberFormat="1" applyFont="1" applyBorder="1"/>
    <xf numFmtId="43" fontId="14" fillId="0" borderId="6" xfId="80" applyFont="1" applyBorder="1"/>
    <xf numFmtId="43" fontId="14" fillId="0" borderId="11" xfId="80" applyFont="1" applyBorder="1"/>
    <xf numFmtId="14" fontId="13" fillId="4" borderId="31" xfId="0" applyNumberFormat="1" applyFont="1" applyFill="1" applyBorder="1" applyAlignment="1">
      <alignment horizontal="center"/>
    </xf>
    <xf numFmtId="0" fontId="55" fillId="4" borderId="46" xfId="709" applyFont="1" applyFill="1" applyBorder="1" applyAlignment="1">
      <alignment horizontal="center" vertical="top" wrapText="1"/>
    </xf>
    <xf numFmtId="10" fontId="43" fillId="4" borderId="55" xfId="774" applyNumberFormat="1" applyFont="1" applyFill="1" applyBorder="1" applyAlignment="1">
      <alignment horizontal="center" wrapText="1"/>
    </xf>
    <xf numFmtId="0" fontId="55" fillId="4" borderId="62" xfId="709" applyFont="1" applyFill="1" applyBorder="1" applyAlignment="1">
      <alignment horizontal="center" vertical="top" wrapText="1"/>
    </xf>
    <xf numFmtId="10" fontId="55" fillId="4" borderId="62" xfId="774" applyNumberFormat="1" applyFont="1" applyFill="1" applyBorder="1" applyAlignment="1">
      <alignment horizontal="center" vertical="top"/>
    </xf>
    <xf numFmtId="0" fontId="51" fillId="3" borderId="0" xfId="709" applyFont="1" applyFill="1" applyBorder="1" applyAlignment="1">
      <alignment horizontal="center" wrapText="1"/>
    </xf>
    <xf numFmtId="0" fontId="51" fillId="3" borderId="24" xfId="709" applyFont="1" applyFill="1" applyBorder="1" applyAlignment="1">
      <alignment horizontal="center" wrapText="1"/>
    </xf>
    <xf numFmtId="167" fontId="38" fillId="3" borderId="0" xfId="773" applyFont="1" applyFill="1"/>
    <xf numFmtId="0" fontId="38" fillId="3" borderId="0" xfId="709" applyFont="1" applyFill="1"/>
    <xf numFmtId="14" fontId="11" fillId="4" borderId="64" xfId="0" applyNumberFormat="1" applyFont="1" applyFill="1" applyBorder="1" applyAlignment="1">
      <alignment horizontal="center"/>
    </xf>
    <xf numFmtId="0" fontId="11" fillId="4" borderId="58" xfId="0" applyFont="1" applyFill="1" applyBorder="1" applyAlignment="1">
      <alignment horizontal="center"/>
    </xf>
    <xf numFmtId="14" fontId="11" fillId="4" borderId="20" xfId="0" applyNumberFormat="1" applyFont="1" applyFill="1" applyBorder="1" applyAlignment="1">
      <alignment horizontal="center"/>
    </xf>
    <xf numFmtId="0" fontId="11" fillId="4" borderId="59" xfId="0" applyFont="1" applyFill="1" applyBorder="1" applyAlignment="1">
      <alignment horizontal="center"/>
    </xf>
    <xf numFmtId="14" fontId="11" fillId="4" borderId="31" xfId="0" applyNumberFormat="1" applyFont="1" applyFill="1" applyBorder="1" applyAlignment="1">
      <alignment horizontal="center"/>
    </xf>
    <xf numFmtId="14" fontId="11" fillId="4" borderId="55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vertical="center" wrapText="1" shrinkToFit="1"/>
    </xf>
    <xf numFmtId="0" fontId="14" fillId="4" borderId="22" xfId="0" applyFont="1" applyFill="1" applyBorder="1" applyAlignment="1">
      <alignment vertical="center" wrapText="1" shrinkToFit="1"/>
    </xf>
    <xf numFmtId="0" fontId="23" fillId="3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6" fillId="4" borderId="46" xfId="0" applyFont="1" applyFill="1" applyBorder="1" applyAlignment="1">
      <alignment horizontal="center"/>
    </xf>
    <xf numFmtId="4" fontId="16" fillId="0" borderId="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4" fontId="16" fillId="0" borderId="34" xfId="0" applyNumberFormat="1" applyFont="1" applyBorder="1" applyAlignment="1">
      <alignment horizontal="center"/>
    </xf>
    <xf numFmtId="4" fontId="65" fillId="3" borderId="46" xfId="709" applyNumberFormat="1" applyFont="1" applyFill="1" applyBorder="1" applyAlignment="1">
      <alignment horizontal="center" vertical="center"/>
    </xf>
    <xf numFmtId="4" fontId="65" fillId="3" borderId="0" xfId="709" applyNumberFormat="1" applyFont="1" applyFill="1" applyBorder="1" applyAlignment="1">
      <alignment vertical="center"/>
    </xf>
    <xf numFmtId="2" fontId="65" fillId="0" borderId="0" xfId="709" applyNumberFormat="1" applyFont="1"/>
    <xf numFmtId="0" fontId="65" fillId="0" borderId="0" xfId="709" applyFont="1"/>
    <xf numFmtId="0" fontId="16" fillId="4" borderId="50" xfId="0" applyFont="1" applyFill="1" applyBorder="1" applyAlignment="1">
      <alignment horizontal="center"/>
    </xf>
    <xf numFmtId="4" fontId="16" fillId="0" borderId="48" xfId="0" applyNumberFormat="1" applyFont="1" applyBorder="1" applyAlignment="1">
      <alignment horizontal="center"/>
    </xf>
    <xf numFmtId="4" fontId="16" fillId="0" borderId="50" xfId="0" applyNumberFormat="1" applyFont="1" applyBorder="1" applyAlignment="1">
      <alignment horizontal="center"/>
    </xf>
    <xf numFmtId="4" fontId="16" fillId="0" borderId="56" xfId="0" applyNumberFormat="1" applyFont="1" applyBorder="1" applyAlignment="1">
      <alignment horizontal="center"/>
    </xf>
    <xf numFmtId="4" fontId="65" fillId="3" borderId="43" xfId="709" applyNumberFormat="1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/>
    </xf>
    <xf numFmtId="4" fontId="16" fillId="0" borderId="47" xfId="0" applyNumberFormat="1" applyFont="1" applyBorder="1" applyAlignment="1">
      <alignment horizontal="center"/>
    </xf>
    <xf numFmtId="4" fontId="16" fillId="0" borderId="44" xfId="0" applyNumberFormat="1" applyFont="1" applyBorder="1" applyAlignment="1">
      <alignment horizontal="center"/>
    </xf>
    <xf numFmtId="0" fontId="65" fillId="4" borderId="49" xfId="709" applyFont="1" applyFill="1" applyBorder="1" applyAlignment="1">
      <alignment horizontal="center"/>
    </xf>
    <xf numFmtId="4" fontId="65" fillId="0" borderId="47" xfId="709" applyNumberFormat="1" applyFont="1" applyBorder="1" applyAlignment="1">
      <alignment horizontal="center"/>
    </xf>
    <xf numFmtId="0" fontId="65" fillId="4" borderId="50" xfId="709" applyFont="1" applyFill="1" applyBorder="1" applyAlignment="1">
      <alignment horizontal="center"/>
    </xf>
    <xf numFmtId="4" fontId="65" fillId="0" borderId="48" xfId="709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center"/>
    </xf>
    <xf numFmtId="4" fontId="16" fillId="0" borderId="62" xfId="0" applyNumberFormat="1" applyFont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2" fontId="65" fillId="3" borderId="0" xfId="709" applyNumberFormat="1" applyFont="1" applyFill="1" applyBorder="1"/>
    <xf numFmtId="4" fontId="16" fillId="3" borderId="0" xfId="0" applyNumberFormat="1" applyFont="1" applyFill="1" applyBorder="1" applyAlignment="1"/>
    <xf numFmtId="0" fontId="65" fillId="3" borderId="0" xfId="709" applyFont="1" applyFill="1" applyBorder="1"/>
    <xf numFmtId="0" fontId="16" fillId="4" borderId="44" xfId="0" applyFont="1" applyFill="1" applyBorder="1" applyAlignment="1">
      <alignment horizontal="center"/>
    </xf>
    <xf numFmtId="4" fontId="16" fillId="0" borderId="49" xfId="0" applyNumberFormat="1" applyFont="1" applyBorder="1" applyAlignment="1">
      <alignment horizontal="center"/>
    </xf>
    <xf numFmtId="0" fontId="16" fillId="4" borderId="56" xfId="0" applyFont="1" applyFill="1" applyBorder="1" applyAlignment="1">
      <alignment horizontal="center"/>
    </xf>
    <xf numFmtId="0" fontId="17" fillId="4" borderId="51" xfId="0" applyFont="1" applyFill="1" applyBorder="1" applyAlignment="1">
      <alignment horizontal="center" vertical="center" wrapText="1"/>
    </xf>
    <xf numFmtId="10" fontId="17" fillId="4" borderId="52" xfId="0" applyNumberFormat="1" applyFont="1" applyFill="1" applyBorder="1" applyAlignment="1">
      <alignment vertical="center"/>
    </xf>
    <xf numFmtId="0" fontId="17" fillId="4" borderId="53" xfId="0" applyFont="1" applyFill="1" applyBorder="1" applyAlignment="1">
      <alignment vertical="center"/>
    </xf>
    <xf numFmtId="0" fontId="17" fillId="4" borderId="41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wrapText="1"/>
    </xf>
    <xf numFmtId="0" fontId="17" fillId="4" borderId="42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14" fontId="17" fillId="4" borderId="24" xfId="0" applyNumberFormat="1" applyFont="1" applyFill="1" applyBorder="1" applyAlignment="1">
      <alignment horizontal="center" vertical="center" wrapText="1"/>
    </xf>
    <xf numFmtId="14" fontId="17" fillId="4" borderId="43" xfId="0" applyNumberFormat="1" applyFont="1" applyFill="1" applyBorder="1" applyAlignment="1">
      <alignment horizontal="center"/>
    </xf>
    <xf numFmtId="0" fontId="16" fillId="4" borderId="43" xfId="0" applyFont="1" applyFill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43" xfId="0" applyNumberFormat="1" applyFont="1" applyBorder="1" applyAlignment="1">
      <alignment horizontal="center"/>
    </xf>
    <xf numFmtId="4" fontId="16" fillId="0" borderId="21" xfId="0" applyNumberFormat="1" applyFont="1" applyBorder="1" applyAlignment="1">
      <alignment horizontal="center"/>
    </xf>
    <xf numFmtId="0" fontId="40" fillId="4" borderId="34" xfId="709" applyFont="1" applyFill="1" applyBorder="1" applyAlignment="1">
      <alignment horizontal="left" vertical="top" wrapText="1"/>
    </xf>
    <xf numFmtId="14" fontId="42" fillId="4" borderId="43" xfId="709" applyNumberFormat="1" applyFont="1" applyFill="1" applyBorder="1" applyAlignment="1">
      <alignment horizontal="center" vertical="top" wrapText="1"/>
    </xf>
    <xf numFmtId="14" fontId="42" fillId="4" borderId="31" xfId="0" applyNumberFormat="1" applyFont="1" applyFill="1" applyBorder="1" applyAlignment="1">
      <alignment horizontal="center" vertical="center" wrapText="1" shrinkToFit="1"/>
    </xf>
    <xf numFmtId="14" fontId="42" fillId="4" borderId="32" xfId="0" applyNumberFormat="1" applyFont="1" applyFill="1" applyBorder="1" applyAlignment="1">
      <alignment horizontal="center"/>
    </xf>
    <xf numFmtId="14" fontId="42" fillId="4" borderId="55" xfId="0" applyNumberFormat="1" applyFont="1" applyFill="1" applyBorder="1" applyAlignment="1">
      <alignment horizontal="center"/>
    </xf>
    <xf numFmtId="0" fontId="14" fillId="4" borderId="41" xfId="0" applyFont="1" applyFill="1" applyBorder="1" applyAlignment="1">
      <alignment horizontal="center" vertical="center" wrapText="1"/>
    </xf>
    <xf numFmtId="0" fontId="14" fillId="4" borderId="55" xfId="0" applyFont="1" applyFill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2" fillId="0" borderId="44" xfId="0" applyNumberFormat="1" applyFont="1" applyBorder="1" applyAlignment="1">
      <alignment horizontal="center" vertical="center" wrapText="1"/>
    </xf>
    <xf numFmtId="4" fontId="12" fillId="0" borderId="56" xfId="0" applyNumberFormat="1" applyFont="1" applyBorder="1" applyAlignment="1">
      <alignment horizontal="center" vertical="center" wrapText="1"/>
    </xf>
    <xf numFmtId="4" fontId="40" fillId="0" borderId="0" xfId="0" applyNumberFormat="1" applyFont="1" applyBorder="1" applyAlignment="1">
      <alignment horizontal="center"/>
    </xf>
    <xf numFmtId="4" fontId="40" fillId="0" borderId="62" xfId="0" applyNumberFormat="1" applyFont="1" applyBorder="1" applyAlignment="1">
      <alignment horizontal="center" vertical="center" wrapText="1"/>
    </xf>
    <xf numFmtId="4" fontId="40" fillId="0" borderId="49" xfId="0" applyNumberFormat="1" applyFont="1" applyBorder="1" applyAlignment="1">
      <alignment horizontal="center" vertical="center" wrapText="1"/>
    </xf>
    <xf numFmtId="4" fontId="40" fillId="0" borderId="50" xfId="0" applyNumberFormat="1" applyFont="1" applyBorder="1" applyAlignment="1">
      <alignment horizontal="center" vertical="center" wrapText="1"/>
    </xf>
    <xf numFmtId="0" fontId="66" fillId="0" borderId="46" xfId="709" applyFont="1" applyBorder="1" applyAlignment="1">
      <alignment horizontal="center" vertical="top" wrapText="1"/>
    </xf>
    <xf numFmtId="167" fontId="65" fillId="0" borderId="46" xfId="773" applyFont="1" applyBorder="1" applyAlignment="1">
      <alignment horizontal="center" wrapText="1"/>
    </xf>
    <xf numFmtId="167" fontId="65" fillId="0" borderId="49" xfId="773" applyFont="1" applyBorder="1" applyAlignment="1">
      <alignment horizontal="center" wrapText="1"/>
    </xf>
    <xf numFmtId="0" fontId="66" fillId="0" borderId="43" xfId="709" applyFont="1" applyBorder="1" applyAlignment="1">
      <alignment horizontal="center" vertical="top" wrapText="1"/>
    </xf>
    <xf numFmtId="167" fontId="65" fillId="0" borderId="43" xfId="773" applyFont="1" applyBorder="1" applyAlignment="1">
      <alignment horizontal="center" wrapText="1"/>
    </xf>
    <xf numFmtId="167" fontId="65" fillId="0" borderId="50" xfId="773" applyFont="1" applyBorder="1" applyAlignment="1">
      <alignment horizontal="center" wrapText="1"/>
    </xf>
    <xf numFmtId="0" fontId="66" fillId="0" borderId="62" xfId="709" applyFont="1" applyBorder="1" applyAlignment="1">
      <alignment horizontal="center" vertical="top" wrapText="1"/>
    </xf>
    <xf numFmtId="167" fontId="65" fillId="0" borderId="62" xfId="773" applyFont="1" applyBorder="1" applyAlignment="1">
      <alignment horizontal="center" wrapText="1"/>
    </xf>
    <xf numFmtId="167" fontId="65" fillId="0" borderId="27" xfId="773" applyFont="1" applyBorder="1" applyAlignment="1">
      <alignment horizontal="center" wrapText="1"/>
    </xf>
    <xf numFmtId="0" fontId="65" fillId="0" borderId="50" xfId="709" applyFont="1" applyBorder="1" applyAlignment="1">
      <alignment horizontal="center"/>
    </xf>
    <xf numFmtId="167" fontId="65" fillId="0" borderId="36" xfId="773" applyFont="1" applyBorder="1" applyAlignment="1">
      <alignment horizontal="center" wrapText="1"/>
    </xf>
    <xf numFmtId="0" fontId="16" fillId="4" borderId="0" xfId="0" applyFont="1" applyFill="1" applyBorder="1" applyAlignment="1">
      <alignment vertical="center" wrapText="1" shrinkToFit="1"/>
    </xf>
    <xf numFmtId="0" fontId="16" fillId="4" borderId="2" xfId="0" applyFont="1" applyFill="1" applyBorder="1" applyAlignment="1">
      <alignment vertical="center" wrapText="1" shrinkToFit="1"/>
    </xf>
    <xf numFmtId="14" fontId="17" fillId="4" borderId="22" xfId="0" applyNumberFormat="1" applyFont="1" applyFill="1" applyBorder="1" applyAlignment="1">
      <alignment horizontal="center"/>
    </xf>
    <xf numFmtId="2" fontId="16" fillId="0" borderId="45" xfId="0" applyNumberFormat="1" applyFont="1" applyBorder="1" applyAlignment="1">
      <alignment horizontal="center"/>
    </xf>
    <xf numFmtId="2" fontId="16" fillId="0" borderId="36" xfId="0" applyNumberFormat="1" applyFont="1" applyBorder="1" applyAlignment="1">
      <alignment horizontal="center"/>
    </xf>
    <xf numFmtId="0" fontId="16" fillId="4" borderId="27" xfId="0" applyFont="1" applyFill="1" applyBorder="1" applyAlignment="1">
      <alignment horizontal="left" wrapText="1" shrinkToFit="1"/>
    </xf>
    <xf numFmtId="2" fontId="16" fillId="0" borderId="27" xfId="0" applyNumberFormat="1" applyFont="1" applyBorder="1" applyAlignment="1">
      <alignment horizontal="center"/>
    </xf>
    <xf numFmtId="0" fontId="16" fillId="4" borderId="47" xfId="0" applyFont="1" applyFill="1" applyBorder="1" applyAlignment="1">
      <alignment horizontal="left" wrapText="1" shrinkToFit="1"/>
    </xf>
    <xf numFmtId="0" fontId="65" fillId="4" borderId="44" xfId="709" applyFont="1" applyFill="1" applyBorder="1" applyAlignment="1"/>
    <xf numFmtId="0" fontId="69" fillId="4" borderId="47" xfId="709" applyFont="1" applyFill="1" applyBorder="1" applyAlignment="1"/>
    <xf numFmtId="0" fontId="65" fillId="4" borderId="27" xfId="709" applyFont="1" applyFill="1" applyBorder="1" applyAlignment="1"/>
    <xf numFmtId="0" fontId="65" fillId="4" borderId="36" xfId="709" applyFont="1" applyFill="1" applyBorder="1" applyAlignment="1"/>
    <xf numFmtId="0" fontId="70" fillId="9" borderId="4" xfId="709" applyFont="1" applyFill="1" applyBorder="1" applyAlignment="1">
      <alignment horizontal="center" vertical="top" wrapText="1"/>
    </xf>
    <xf numFmtId="0" fontId="70" fillId="9" borderId="26" xfId="709" applyFont="1" applyFill="1" applyBorder="1" applyAlignment="1">
      <alignment horizontal="center" vertical="top" wrapText="1"/>
    </xf>
    <xf numFmtId="0" fontId="70" fillId="9" borderId="15" xfId="709" applyFont="1" applyFill="1" applyBorder="1" applyAlignment="1">
      <alignment horizontal="center" vertical="top" wrapText="1"/>
    </xf>
    <xf numFmtId="167" fontId="65" fillId="0" borderId="4" xfId="773" applyFont="1" applyBorder="1" applyAlignment="1">
      <alignment horizontal="justify" wrapText="1"/>
    </xf>
    <xf numFmtId="167" fontId="65" fillId="0" borderId="26" xfId="773" applyFont="1" applyBorder="1" applyAlignment="1">
      <alignment horizontal="justify" wrapText="1"/>
    </xf>
    <xf numFmtId="167" fontId="65" fillId="0" borderId="15" xfId="773" applyFont="1" applyBorder="1" applyAlignment="1">
      <alignment horizontal="justify" wrapText="1"/>
    </xf>
    <xf numFmtId="167" fontId="65" fillId="0" borderId="31" xfId="773" applyFont="1" applyBorder="1" applyAlignment="1">
      <alignment horizontal="justify" wrapText="1"/>
    </xf>
    <xf numFmtId="167" fontId="65" fillId="0" borderId="32" xfId="773" applyFont="1" applyBorder="1" applyAlignment="1">
      <alignment horizontal="justify" wrapText="1"/>
    </xf>
    <xf numFmtId="167" fontId="65" fillId="0" borderId="22" xfId="773" applyFont="1" applyBorder="1" applyAlignment="1">
      <alignment horizontal="justify" wrapText="1"/>
    </xf>
    <xf numFmtId="0" fontId="65" fillId="0" borderId="0" xfId="709" applyFont="1" applyBorder="1" applyAlignment="1">
      <alignment horizontal="center"/>
    </xf>
    <xf numFmtId="167" fontId="65" fillId="0" borderId="0" xfId="773" applyFont="1" applyBorder="1" applyAlignment="1">
      <alignment horizontal="justify" wrapText="1"/>
    </xf>
    <xf numFmtId="0" fontId="69" fillId="0" borderId="0" xfId="709" applyFont="1"/>
    <xf numFmtId="0" fontId="0" fillId="0" borderId="0" xfId="0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4" fillId="3" borderId="27" xfId="0" applyFont="1" applyFill="1" applyBorder="1" applyAlignment="1">
      <alignment horizontal="left"/>
    </xf>
    <xf numFmtId="0" fontId="14" fillId="3" borderId="15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54" fillId="3" borderId="0" xfId="0" applyFont="1" applyFill="1" applyBorder="1" applyAlignment="1">
      <alignment horizontal="left" vertical="center" wrapText="1"/>
    </xf>
    <xf numFmtId="0" fontId="17" fillId="0" borderId="0" xfId="0" applyFont="1" applyAlignment="1"/>
    <xf numFmtId="14" fontId="24" fillId="3" borderId="0" xfId="0" applyNumberFormat="1" applyFont="1" applyFill="1"/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17" fillId="4" borderId="42" xfId="0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33" fillId="8" borderId="42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wrapText="1"/>
    </xf>
    <xf numFmtId="0" fontId="11" fillId="4" borderId="58" xfId="0" applyFont="1" applyFill="1" applyBorder="1" applyAlignment="1">
      <alignment horizontal="center" wrapText="1"/>
    </xf>
    <xf numFmtId="0" fontId="11" fillId="4" borderId="59" xfId="0" applyFont="1" applyFill="1" applyBorder="1" applyAlignment="1">
      <alignment horizontal="center" vertical="center"/>
    </xf>
    <xf numFmtId="0" fontId="13" fillId="4" borderId="58" xfId="0" applyFont="1" applyFill="1" applyBorder="1" applyAlignment="1">
      <alignment horizontal="center" wrapText="1"/>
    </xf>
    <xf numFmtId="0" fontId="11" fillId="4" borderId="60" xfId="0" applyFont="1" applyFill="1" applyBorder="1" applyAlignment="1">
      <alignment horizontal="center" wrapText="1"/>
    </xf>
    <xf numFmtId="0" fontId="13" fillId="4" borderId="64" xfId="0" applyFont="1" applyFill="1" applyBorder="1" applyAlignment="1">
      <alignment horizontal="center" wrapText="1"/>
    </xf>
    <xf numFmtId="0" fontId="17" fillId="4" borderId="42" xfId="0" applyFont="1" applyFill="1" applyBorder="1" applyAlignment="1">
      <alignment horizontal="center" vertical="center"/>
    </xf>
    <xf numFmtId="21" fontId="18" fillId="0" borderId="7" xfId="0" applyNumberFormat="1" applyFont="1" applyBorder="1" applyAlignment="1">
      <alignment horizontal="center"/>
    </xf>
    <xf numFmtId="49" fontId="0" fillId="0" borderId="0" xfId="0" applyNumberFormat="1"/>
    <xf numFmtId="0" fontId="16" fillId="4" borderId="29" xfId="0" applyFont="1" applyFill="1" applyBorder="1" applyAlignment="1">
      <alignment wrapText="1" shrinkToFit="1"/>
    </xf>
    <xf numFmtId="49" fontId="13" fillId="4" borderId="55" xfId="0" applyNumberFormat="1" applyFont="1" applyFill="1" applyBorder="1" applyAlignment="1">
      <alignment horizontal="center"/>
    </xf>
    <xf numFmtId="49" fontId="17" fillId="4" borderId="43" xfId="0" applyNumberFormat="1" applyFont="1" applyFill="1" applyBorder="1" applyAlignment="1">
      <alignment horizontal="center"/>
    </xf>
    <xf numFmtId="167" fontId="40" fillId="3" borderId="48" xfId="773" applyFont="1" applyFill="1" applyBorder="1" applyAlignment="1">
      <alignment vertical="center" wrapText="1"/>
    </xf>
    <xf numFmtId="167" fontId="40" fillId="3" borderId="50" xfId="773" applyFont="1" applyFill="1" applyBorder="1" applyAlignment="1">
      <alignment vertical="center" wrapText="1"/>
    </xf>
    <xf numFmtId="167" fontId="40" fillId="3" borderId="36" xfId="773" applyFont="1" applyFill="1" applyBorder="1" applyAlignment="1">
      <alignment vertical="center" wrapText="1"/>
    </xf>
    <xf numFmtId="4" fontId="40" fillId="0" borderId="49" xfId="709" applyNumberFormat="1" applyFont="1" applyBorder="1" applyAlignment="1">
      <alignment horizontal="center" vertical="center" wrapText="1"/>
    </xf>
    <xf numFmtId="4" fontId="40" fillId="0" borderId="49" xfId="773" applyNumberFormat="1" applyFont="1" applyBorder="1" applyAlignment="1">
      <alignment horizontal="center" vertical="center" wrapText="1"/>
    </xf>
    <xf numFmtId="4" fontId="40" fillId="0" borderId="44" xfId="709" applyNumberFormat="1" applyFont="1" applyBorder="1" applyAlignment="1">
      <alignment horizontal="center" vertical="center" wrapText="1"/>
    </xf>
    <xf numFmtId="2" fontId="40" fillId="0" borderId="49" xfId="709" applyNumberFormat="1" applyFont="1" applyBorder="1" applyAlignment="1">
      <alignment horizontal="center" vertical="center" wrapText="1"/>
    </xf>
    <xf numFmtId="4" fontId="40" fillId="0" borderId="50" xfId="773" applyNumberFormat="1" applyFont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wrapText="1"/>
    </xf>
    <xf numFmtId="14" fontId="13" fillId="4" borderId="21" xfId="0" applyNumberFormat="1" applyFont="1" applyFill="1" applyBorder="1" applyAlignment="1">
      <alignment vertical="center" wrapText="1"/>
    </xf>
    <xf numFmtId="14" fontId="13" fillId="4" borderId="22" xfId="0" applyNumberFormat="1" applyFont="1" applyFill="1" applyBorder="1" applyAlignment="1">
      <alignment vertical="center" wrapText="1"/>
    </xf>
    <xf numFmtId="3" fontId="14" fillId="0" borderId="15" xfId="0" quotePrefix="1" applyNumberFormat="1" applyFont="1" applyBorder="1" applyAlignment="1">
      <alignment horizontal="center" vertical="center"/>
    </xf>
    <xf numFmtId="0" fontId="13" fillId="4" borderId="41" xfId="0" applyFont="1" applyFill="1" applyBorder="1" applyAlignment="1">
      <alignment horizontal="center" wrapText="1"/>
    </xf>
    <xf numFmtId="4" fontId="14" fillId="0" borderId="27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3" fontId="14" fillId="0" borderId="27" xfId="0" quotePrefix="1" applyNumberFormat="1" applyFont="1" applyBorder="1" applyAlignment="1">
      <alignment horizontal="center" vertical="center"/>
    </xf>
    <xf numFmtId="3" fontId="14" fillId="0" borderId="36" xfId="0" quotePrefix="1" applyNumberFormat="1" applyFont="1" applyBorder="1" applyAlignment="1">
      <alignment horizontal="center" vertical="center"/>
    </xf>
    <xf numFmtId="3" fontId="14" fillId="0" borderId="49" xfId="0" quotePrefix="1" applyNumberFormat="1" applyFont="1" applyBorder="1" applyAlignment="1">
      <alignment horizontal="center" vertical="center"/>
    </xf>
    <xf numFmtId="3" fontId="14" fillId="0" borderId="50" xfId="0" quotePrefix="1" applyNumberFormat="1" applyFont="1" applyBorder="1" applyAlignment="1">
      <alignment horizontal="center" vertical="center"/>
    </xf>
    <xf numFmtId="4" fontId="14" fillId="0" borderId="49" xfId="0" applyNumberFormat="1" applyFont="1" applyBorder="1" applyAlignment="1">
      <alignment horizontal="center" vertical="center"/>
    </xf>
    <xf numFmtId="4" fontId="14" fillId="0" borderId="50" xfId="0" applyNumberFormat="1" applyFont="1" applyBorder="1" applyAlignment="1">
      <alignment horizontal="center" vertic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wrapText="1"/>
    </xf>
    <xf numFmtId="0" fontId="28" fillId="4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3" fillId="0" borderId="0" xfId="709" applyFont="1" applyAlignment="1">
      <alignment horizontal="center" wrapText="1"/>
    </xf>
    <xf numFmtId="0" fontId="50" fillId="0" borderId="0" xfId="709" applyFont="1" applyAlignment="1">
      <alignment horizontal="center" wrapText="1"/>
    </xf>
    <xf numFmtId="0" fontId="2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 vertical="top" wrapText="1" shrinkToFi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51" xfId="0" applyFont="1" applyFill="1" applyBorder="1" applyAlignment="1">
      <alignment horizontal="left" vertical="center" wrapText="1"/>
    </xf>
    <xf numFmtId="0" fontId="1" fillId="4" borderId="52" xfId="0" applyFont="1" applyFill="1" applyBorder="1" applyAlignment="1">
      <alignment horizontal="left" vertical="center" wrapText="1"/>
    </xf>
    <xf numFmtId="0" fontId="1" fillId="4" borderId="53" xfId="0" applyFont="1" applyFill="1" applyBorder="1" applyAlignment="1">
      <alignment horizontal="left" vertical="center" wrapText="1"/>
    </xf>
    <xf numFmtId="0" fontId="1" fillId="4" borderId="51" xfId="0" applyFont="1" applyFill="1" applyBorder="1" applyAlignment="1">
      <alignment horizontal="left" wrapText="1"/>
    </xf>
    <xf numFmtId="0" fontId="1" fillId="4" borderId="52" xfId="0" applyFont="1" applyFill="1" applyBorder="1" applyAlignment="1">
      <alignment horizontal="left" wrapText="1"/>
    </xf>
    <xf numFmtId="0" fontId="1" fillId="4" borderId="53" xfId="0" applyFont="1" applyFill="1" applyBorder="1" applyAlignment="1">
      <alignment horizontal="left" wrapText="1"/>
    </xf>
    <xf numFmtId="0" fontId="58" fillId="4" borderId="52" xfId="0" applyFont="1" applyFill="1" applyBorder="1" applyAlignment="1">
      <alignment horizontal="center"/>
    </xf>
    <xf numFmtId="0" fontId="58" fillId="4" borderId="53" xfId="0" applyFont="1" applyFill="1" applyBorder="1" applyAlignment="1">
      <alignment horizontal="center"/>
    </xf>
    <xf numFmtId="0" fontId="61" fillId="4" borderId="42" xfId="0" applyFont="1" applyFill="1" applyBorder="1" applyAlignment="1">
      <alignment horizontal="center" vertical="center" wrapText="1"/>
    </xf>
    <xf numFmtId="0" fontId="61" fillId="4" borderId="54" xfId="0" applyFont="1" applyFill="1" applyBorder="1" applyAlignment="1">
      <alignment horizontal="center" vertical="center" wrapText="1"/>
    </xf>
    <xf numFmtId="0" fontId="61" fillId="4" borderId="43" xfId="0" applyFont="1" applyFill="1" applyBorder="1" applyAlignment="1">
      <alignment horizontal="center" vertical="center" wrapText="1"/>
    </xf>
    <xf numFmtId="0" fontId="38" fillId="0" borderId="51" xfId="709" applyFont="1" applyBorder="1" applyAlignment="1">
      <alignment horizontal="center"/>
    </xf>
    <xf numFmtId="0" fontId="38" fillId="0" borderId="52" xfId="709" applyFont="1" applyBorder="1" applyAlignment="1">
      <alignment horizontal="center"/>
    </xf>
    <xf numFmtId="0" fontId="38" fillId="0" borderId="53" xfId="709" applyFont="1" applyBorder="1" applyAlignment="1">
      <alignment horizontal="center"/>
    </xf>
    <xf numFmtId="0" fontId="58" fillId="4" borderId="23" xfId="0" applyFont="1" applyFill="1" applyBorder="1" applyAlignment="1">
      <alignment horizontal="center" vertical="center"/>
    </xf>
    <xf numFmtId="0" fontId="58" fillId="4" borderId="17" xfId="0" applyFont="1" applyFill="1" applyBorder="1" applyAlignment="1">
      <alignment horizontal="center" vertical="center"/>
    </xf>
    <xf numFmtId="0" fontId="58" fillId="4" borderId="24" xfId="0" applyFont="1" applyFill="1" applyBorder="1" applyAlignment="1">
      <alignment horizontal="center" vertical="center"/>
    </xf>
    <xf numFmtId="0" fontId="58" fillId="4" borderId="22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 wrapText="1"/>
    </xf>
    <xf numFmtId="0" fontId="12" fillId="3" borderId="20" xfId="0" applyFont="1" applyFill="1" applyBorder="1" applyAlignment="1">
      <alignment horizontal="left" vertical="center" wrapText="1"/>
    </xf>
    <xf numFmtId="0" fontId="0" fillId="0" borderId="75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37" xfId="0" applyBorder="1" applyAlignment="1">
      <alignment horizontal="center"/>
    </xf>
    <xf numFmtId="0" fontId="59" fillId="0" borderId="75" xfId="0" applyFont="1" applyBorder="1" applyAlignment="1">
      <alignment horizontal="center" wrapText="1"/>
    </xf>
    <xf numFmtId="0" fontId="60" fillId="0" borderId="77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2" fillId="2" borderId="5" xfId="0" applyFont="1" applyFill="1" applyBorder="1" applyAlignment="1">
      <alignment horizontal="center" vertical="center" wrapText="1"/>
    </xf>
    <xf numFmtId="0" fontId="62" fillId="2" borderId="10" xfId="0" applyFont="1" applyFill="1" applyBorder="1" applyAlignment="1">
      <alignment horizontal="center" vertical="center" wrapText="1"/>
    </xf>
    <xf numFmtId="0" fontId="62" fillId="2" borderId="6" xfId="0" applyFont="1" applyFill="1" applyBorder="1" applyAlignment="1">
      <alignment horizontal="center" vertical="center" wrapText="1"/>
    </xf>
    <xf numFmtId="0" fontId="62" fillId="2" borderId="1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49" fillId="4" borderId="71" xfId="709" applyFont="1" applyFill="1" applyBorder="1" applyAlignment="1">
      <alignment horizontal="center" wrapText="1"/>
    </xf>
    <xf numFmtId="0" fontId="49" fillId="4" borderId="23" xfId="709" applyFont="1" applyFill="1" applyBorder="1" applyAlignment="1">
      <alignment horizontal="center" wrapText="1"/>
    </xf>
    <xf numFmtId="0" fontId="49" fillId="4" borderId="17" xfId="709" applyFont="1" applyFill="1" applyBorder="1" applyAlignment="1">
      <alignment horizontal="center" wrapText="1"/>
    </xf>
    <xf numFmtId="0" fontId="49" fillId="4" borderId="40" xfId="709" applyFont="1" applyFill="1" applyBorder="1" applyAlignment="1">
      <alignment horizontal="center" wrapText="1"/>
    </xf>
    <xf numFmtId="0" fontId="49" fillId="4" borderId="2" xfId="709" applyFont="1" applyFill="1" applyBorder="1" applyAlignment="1">
      <alignment horizontal="center" wrapText="1"/>
    </xf>
    <xf numFmtId="0" fontId="49" fillId="4" borderId="45" xfId="709" applyFont="1" applyFill="1" applyBorder="1" applyAlignment="1">
      <alignment horizontal="center" wrapText="1"/>
    </xf>
    <xf numFmtId="0" fontId="38" fillId="0" borderId="12" xfId="709" applyFont="1" applyBorder="1" applyAlignment="1">
      <alignment horizontal="center"/>
    </xf>
    <xf numFmtId="0" fontId="38" fillId="0" borderId="47" xfId="709" applyFont="1" applyBorder="1" applyAlignment="1">
      <alignment horizontal="center"/>
    </xf>
    <xf numFmtId="0" fontId="38" fillId="0" borderId="27" xfId="709" applyFont="1" applyBorder="1" applyAlignment="1">
      <alignment horizontal="center"/>
    </xf>
    <xf numFmtId="0" fontId="38" fillId="0" borderId="35" xfId="709" applyFont="1" applyBorder="1" applyAlignment="1">
      <alignment horizontal="center"/>
    </xf>
    <xf numFmtId="0" fontId="38" fillId="0" borderId="48" xfId="709" applyFont="1" applyBorder="1" applyAlignment="1">
      <alignment horizontal="center"/>
    </xf>
    <xf numFmtId="0" fontId="38" fillId="0" borderId="36" xfId="709" applyFont="1" applyBorder="1" applyAlignment="1">
      <alignment horizontal="center"/>
    </xf>
    <xf numFmtId="0" fontId="56" fillId="4" borderId="67" xfId="709" applyFont="1" applyFill="1" applyBorder="1" applyAlignment="1">
      <alignment horizontal="center"/>
    </xf>
    <xf numFmtId="0" fontId="56" fillId="4" borderId="52" xfId="709" applyFont="1" applyFill="1" applyBorder="1" applyAlignment="1">
      <alignment horizontal="center"/>
    </xf>
    <xf numFmtId="0" fontId="56" fillId="4" borderId="53" xfId="709" applyFont="1" applyFill="1" applyBorder="1" applyAlignment="1">
      <alignment horizontal="center"/>
    </xf>
    <xf numFmtId="0" fontId="38" fillId="0" borderId="25" xfId="709" applyFont="1" applyBorder="1" applyAlignment="1">
      <alignment horizontal="center"/>
    </xf>
    <xf numFmtId="0" fontId="38" fillId="0" borderId="14" xfId="709" applyFont="1" applyBorder="1" applyAlignment="1">
      <alignment horizontal="center"/>
    </xf>
    <xf numFmtId="0" fontId="38" fillId="0" borderId="15" xfId="709" applyFont="1" applyBorder="1" applyAlignment="1">
      <alignment horizontal="center"/>
    </xf>
    <xf numFmtId="0" fontId="57" fillId="4" borderId="67" xfId="709" applyFont="1" applyFill="1" applyBorder="1" applyAlignment="1">
      <alignment horizontal="center"/>
    </xf>
    <xf numFmtId="0" fontId="57" fillId="4" borderId="52" xfId="709" applyFont="1" applyFill="1" applyBorder="1" applyAlignment="1">
      <alignment horizontal="center"/>
    </xf>
    <xf numFmtId="0" fontId="57" fillId="4" borderId="53" xfId="709" applyFont="1" applyFill="1" applyBorder="1" applyAlignment="1">
      <alignment horizontal="center"/>
    </xf>
    <xf numFmtId="14" fontId="33" fillId="6" borderId="63" xfId="0" applyNumberFormat="1" applyFont="1" applyFill="1" applyBorder="1" applyAlignment="1">
      <alignment horizontal="center" vertical="center"/>
    </xf>
    <xf numFmtId="14" fontId="33" fillId="6" borderId="59" xfId="0" applyNumberFormat="1" applyFont="1" applyFill="1" applyBorder="1" applyAlignment="1">
      <alignment horizontal="center" vertical="center"/>
    </xf>
    <xf numFmtId="4" fontId="14" fillId="3" borderId="13" xfId="0" applyNumberFormat="1" applyFont="1" applyFill="1" applyBorder="1" applyAlignment="1">
      <alignment horizontal="center" vertical="center"/>
    </xf>
    <xf numFmtId="4" fontId="14" fillId="3" borderId="15" xfId="0" applyNumberFormat="1" applyFont="1" applyFill="1" applyBorder="1" applyAlignment="1">
      <alignment horizontal="center" vertical="center"/>
    </xf>
    <xf numFmtId="14" fontId="23" fillId="4" borderId="21" xfId="0" applyNumberFormat="1" applyFont="1" applyFill="1" applyBorder="1" applyAlignment="1">
      <alignment horizontal="center"/>
    </xf>
    <xf numFmtId="14" fontId="23" fillId="4" borderId="24" xfId="0" applyNumberFormat="1" applyFont="1" applyFill="1" applyBorder="1" applyAlignment="1">
      <alignment horizontal="center"/>
    </xf>
    <xf numFmtId="14" fontId="23" fillId="4" borderId="22" xfId="0" applyNumberFormat="1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 wrapText="1"/>
    </xf>
    <xf numFmtId="14" fontId="13" fillId="4" borderId="24" xfId="0" applyNumberFormat="1" applyFont="1" applyFill="1" applyBorder="1" applyAlignment="1">
      <alignment horizontal="center" vertical="center" wrapText="1"/>
    </xf>
    <xf numFmtId="14" fontId="13" fillId="4" borderId="22" xfId="0" applyNumberFormat="1" applyFont="1" applyFill="1" applyBorder="1" applyAlignment="1">
      <alignment horizontal="center" vertical="center" wrapText="1"/>
    </xf>
    <xf numFmtId="4" fontId="14" fillId="0" borderId="9" xfId="0" applyNumberFormat="1" applyFont="1" applyBorder="1" applyAlignment="1">
      <alignment horizontal="center"/>
    </xf>
    <xf numFmtId="4" fontId="14" fillId="0" borderId="11" xfId="0" applyNumberFormat="1" applyFont="1" applyBorder="1" applyAlignment="1">
      <alignment horizontal="center"/>
    </xf>
    <xf numFmtId="0" fontId="13" fillId="4" borderId="42" xfId="0" applyFont="1" applyFill="1" applyBorder="1" applyAlignment="1">
      <alignment horizontal="center" vertical="center" wrapText="1"/>
    </xf>
    <xf numFmtId="0" fontId="13" fillId="4" borderId="54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/>
    </xf>
    <xf numFmtId="4" fontId="14" fillId="0" borderId="26" xfId="0" applyNumberFormat="1" applyFont="1" applyBorder="1" applyAlignment="1">
      <alignment horizontal="center"/>
    </xf>
    <xf numFmtId="4" fontId="14" fillId="0" borderId="25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4" fillId="0" borderId="12" xfId="0" applyNumberFormat="1" applyFont="1" applyBorder="1" applyAlignment="1">
      <alignment horizontal="center"/>
    </xf>
    <xf numFmtId="4" fontId="14" fillId="0" borderId="35" xfId="0" applyNumberFormat="1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0" fontId="10" fillId="4" borderId="1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4" fontId="14" fillId="0" borderId="34" xfId="0" applyNumberFormat="1" applyFont="1" applyBorder="1" applyAlignment="1">
      <alignment horizontal="center"/>
    </xf>
    <xf numFmtId="4" fontId="14" fillId="0" borderId="45" xfId="0" applyNumberFormat="1" applyFont="1" applyBorder="1" applyAlignment="1">
      <alignment horizontal="center"/>
    </xf>
    <xf numFmtId="0" fontId="32" fillId="8" borderId="19" xfId="0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 vertical="center" wrapText="1"/>
    </xf>
    <xf numFmtId="0" fontId="32" fillId="8" borderId="20" xfId="0" applyFont="1" applyFill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0" fontId="32" fillId="8" borderId="24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0" fontId="10" fillId="4" borderId="51" xfId="0" applyFont="1" applyFill="1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4" fontId="14" fillId="0" borderId="47" xfId="0" applyNumberFormat="1" applyFont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14" fontId="13" fillId="4" borderId="19" xfId="0" applyNumberFormat="1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14" fontId="33" fillId="6" borderId="66" xfId="0" applyNumberFormat="1" applyFont="1" applyFill="1" applyBorder="1" applyAlignment="1">
      <alignment horizontal="center" vertical="center"/>
    </xf>
    <xf numFmtId="14" fontId="33" fillId="6" borderId="57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41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13" fillId="4" borderId="53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14" fontId="23" fillId="4" borderId="21" xfId="0" applyNumberFormat="1" applyFont="1" applyFill="1" applyBorder="1" applyAlignment="1">
      <alignment horizontal="center" vertical="center"/>
    </xf>
    <xf numFmtId="14" fontId="23" fillId="4" borderId="24" xfId="0" applyNumberFormat="1" applyFont="1" applyFill="1" applyBorder="1" applyAlignment="1">
      <alignment horizontal="center" vertical="center"/>
    </xf>
    <xf numFmtId="14" fontId="23" fillId="4" borderId="22" xfId="0" applyNumberFormat="1" applyFont="1" applyFill="1" applyBorder="1" applyAlignment="1">
      <alignment horizontal="center" vertical="center"/>
    </xf>
    <xf numFmtId="0" fontId="13" fillId="4" borderId="43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right" vertical="center"/>
    </xf>
    <xf numFmtId="0" fontId="13" fillId="4" borderId="52" xfId="0" applyFont="1" applyFill="1" applyBorder="1" applyAlignment="1">
      <alignment horizontal="right" vertical="center"/>
    </xf>
    <xf numFmtId="0" fontId="14" fillId="4" borderId="51" xfId="0" applyFont="1" applyFill="1" applyBorder="1" applyAlignment="1">
      <alignment horizontal="left"/>
    </xf>
    <xf numFmtId="0" fontId="14" fillId="4" borderId="52" xfId="0" applyFont="1" applyFill="1" applyBorder="1" applyAlignment="1">
      <alignment horizontal="left"/>
    </xf>
    <xf numFmtId="0" fontId="14" fillId="3" borderId="51" xfId="0" applyFont="1" applyFill="1" applyBorder="1" applyAlignment="1">
      <alignment horizontal="left" vertical="center" wrapText="1"/>
    </xf>
    <xf numFmtId="0" fontId="14" fillId="3" borderId="52" xfId="0" applyFont="1" applyFill="1" applyBorder="1" applyAlignment="1">
      <alignment horizontal="left" vertical="center" wrapText="1"/>
    </xf>
    <xf numFmtId="0" fontId="14" fillId="3" borderId="53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 vertical="center"/>
    </xf>
    <xf numFmtId="4" fontId="14" fillId="3" borderId="36" xfId="0" applyNumberFormat="1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27" xfId="0" applyFont="1" applyFill="1" applyBorder="1" applyAlignment="1">
      <alignment horizontal="left" vertical="center" wrapText="1"/>
    </xf>
    <xf numFmtId="0" fontId="13" fillId="4" borderId="42" xfId="0" applyFont="1" applyFill="1" applyBorder="1" applyAlignment="1">
      <alignment horizontal="center"/>
    </xf>
    <xf numFmtId="14" fontId="13" fillId="4" borderId="52" xfId="0" applyNumberFormat="1" applyFont="1" applyFill="1" applyBorder="1" applyAlignment="1">
      <alignment horizontal="center" vertical="center"/>
    </xf>
    <xf numFmtId="0" fontId="13" fillId="4" borderId="52" xfId="0" applyFont="1" applyFill="1" applyBorder="1" applyAlignment="1">
      <alignment horizontal="center" vertical="center"/>
    </xf>
    <xf numFmtId="14" fontId="33" fillId="6" borderId="65" xfId="0" applyNumberFormat="1" applyFont="1" applyFill="1" applyBorder="1" applyAlignment="1">
      <alignment horizontal="center" vertical="center"/>
    </xf>
    <xf numFmtId="4" fontId="14" fillId="3" borderId="56" xfId="0" applyNumberFormat="1" applyFont="1" applyFill="1" applyBorder="1" applyAlignment="1">
      <alignment horizontal="center"/>
    </xf>
    <xf numFmtId="4" fontId="14" fillId="3" borderId="36" xfId="0" applyNumberFormat="1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23" fillId="4" borderId="23" xfId="0" applyFont="1" applyFill="1" applyBorder="1" applyAlignment="1">
      <alignment horizontal="center"/>
    </xf>
    <xf numFmtId="0" fontId="23" fillId="4" borderId="17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14" fontId="13" fillId="4" borderId="21" xfId="0" applyNumberFormat="1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left" wrapText="1"/>
    </xf>
    <xf numFmtId="0" fontId="14" fillId="4" borderId="15" xfId="0" applyFont="1" applyFill="1" applyBorder="1" applyAlignment="1">
      <alignment horizontal="left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 vertical="center" wrapText="1"/>
    </xf>
    <xf numFmtId="0" fontId="13" fillId="4" borderId="36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 applyProtection="1">
      <alignment horizontal="center" vertical="center"/>
      <protection locked="0"/>
    </xf>
    <xf numFmtId="0" fontId="14" fillId="7" borderId="47" xfId="0" applyFont="1" applyFill="1" applyBorder="1" applyAlignment="1" applyProtection="1">
      <alignment horizontal="center" vertical="center"/>
      <protection locked="0"/>
    </xf>
    <xf numFmtId="0" fontId="14" fillId="7" borderId="27" xfId="0" applyFont="1" applyFill="1" applyBorder="1" applyAlignment="1" applyProtection="1">
      <alignment horizontal="center" vertical="center"/>
      <protection locked="0"/>
    </xf>
    <xf numFmtId="4" fontId="14" fillId="0" borderId="56" xfId="0" applyNumberFormat="1" applyFont="1" applyBorder="1" applyAlignment="1" applyProtection="1">
      <alignment horizontal="center" vertical="center"/>
    </xf>
    <xf numFmtId="4" fontId="14" fillId="0" borderId="48" xfId="0" applyNumberFormat="1" applyFont="1" applyBorder="1" applyAlignment="1" applyProtection="1">
      <alignment horizontal="center" vertical="center"/>
    </xf>
    <xf numFmtId="4" fontId="14" fillId="0" borderId="36" xfId="0" applyNumberFormat="1" applyFont="1" applyBorder="1" applyAlignment="1" applyProtection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/>
    </xf>
    <xf numFmtId="0" fontId="52" fillId="8" borderId="21" xfId="0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22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center" vertical="center"/>
    </xf>
    <xf numFmtId="0" fontId="13" fillId="4" borderId="59" xfId="0" applyFont="1" applyFill="1" applyBorder="1" applyAlignment="1">
      <alignment horizontal="center" vertical="center" wrapText="1"/>
    </xf>
    <xf numFmtId="0" fontId="13" fillId="4" borderId="60" xfId="0" applyFont="1" applyFill="1" applyBorder="1" applyAlignment="1">
      <alignment horizontal="center" vertical="center" wrapText="1"/>
    </xf>
    <xf numFmtId="0" fontId="13" fillId="4" borderId="55" xfId="0" applyFont="1" applyFill="1" applyBorder="1" applyAlignment="1">
      <alignment horizontal="center" vertical="center" wrapText="1"/>
    </xf>
    <xf numFmtId="3" fontId="13" fillId="4" borderId="58" xfId="0" applyNumberFormat="1" applyFont="1" applyFill="1" applyBorder="1" applyAlignment="1">
      <alignment horizontal="center" vertical="center" wrapText="1"/>
    </xf>
    <xf numFmtId="3" fontId="13" fillId="4" borderId="64" xfId="0" applyNumberFormat="1" applyFont="1" applyFill="1" applyBorder="1" applyAlignment="1">
      <alignment horizontal="center" vertical="center" wrapText="1"/>
    </xf>
    <xf numFmtId="3" fontId="13" fillId="4" borderId="31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6" fillId="4" borderId="21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64" fillId="4" borderId="19" xfId="0" applyFont="1" applyFill="1" applyBorder="1" applyAlignment="1">
      <alignment horizontal="center"/>
    </xf>
    <xf numFmtId="0" fontId="64" fillId="4" borderId="0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left"/>
    </xf>
    <xf numFmtId="14" fontId="33" fillId="6" borderId="61" xfId="0" applyNumberFormat="1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left" vertical="center"/>
    </xf>
    <xf numFmtId="0" fontId="14" fillId="4" borderId="47" xfId="0" applyFont="1" applyFill="1" applyBorder="1" applyAlignment="1">
      <alignment horizontal="left" vertical="center"/>
    </xf>
    <xf numFmtId="0" fontId="16" fillId="4" borderId="21" xfId="0" applyNumberFormat="1" applyFont="1" applyFill="1" applyBorder="1" applyAlignment="1">
      <alignment horizontal="center" vertical="center" wrapText="1"/>
    </xf>
    <xf numFmtId="0" fontId="16" fillId="4" borderId="24" xfId="0" applyNumberFormat="1" applyFont="1" applyFill="1" applyBorder="1" applyAlignment="1">
      <alignment horizontal="center" vertical="center" wrapText="1"/>
    </xf>
    <xf numFmtId="0" fontId="16" fillId="4" borderId="22" xfId="0" applyNumberFormat="1" applyFont="1" applyFill="1" applyBorder="1" applyAlignment="1">
      <alignment horizontal="center" vertical="center" wrapText="1"/>
    </xf>
    <xf numFmtId="4" fontId="14" fillId="0" borderId="48" xfId="0" applyNumberFormat="1" applyFont="1" applyBorder="1" applyAlignment="1">
      <alignment horizontal="center"/>
    </xf>
    <xf numFmtId="49" fontId="13" fillId="4" borderId="19" xfId="0" applyNumberFormat="1" applyFont="1" applyFill="1" applyBorder="1" applyAlignment="1">
      <alignment horizontal="center"/>
    </xf>
    <xf numFmtId="4" fontId="14" fillId="0" borderId="14" xfId="0" applyNumberFormat="1" applyFont="1" applyBorder="1" applyAlignment="1">
      <alignment horizontal="center"/>
    </xf>
    <xf numFmtId="0" fontId="16" fillId="4" borderId="21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13" xfId="0" quotePrefix="1" applyFont="1" applyFill="1" applyBorder="1" applyAlignment="1">
      <alignment horizontal="left"/>
    </xf>
    <xf numFmtId="0" fontId="14" fillId="4" borderId="14" xfId="0" quotePrefix="1" applyFont="1" applyFill="1" applyBorder="1" applyAlignment="1">
      <alignment horizontal="left"/>
    </xf>
    <xf numFmtId="0" fontId="14" fillId="4" borderId="56" xfId="0" quotePrefix="1" applyFont="1" applyFill="1" applyBorder="1" applyAlignment="1">
      <alignment horizontal="left"/>
    </xf>
    <xf numFmtId="0" fontId="14" fillId="4" borderId="48" xfId="0" quotePrefix="1" applyFont="1" applyFill="1" applyBorder="1" applyAlignment="1">
      <alignment horizontal="left"/>
    </xf>
    <xf numFmtId="0" fontId="13" fillId="4" borderId="19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 wrapText="1"/>
    </xf>
    <xf numFmtId="0" fontId="32" fillId="4" borderId="51" xfId="0" applyFont="1" applyFill="1" applyBorder="1" applyAlignment="1">
      <alignment horizontal="center" vertical="center" wrapText="1"/>
    </xf>
    <xf numFmtId="0" fontId="32" fillId="4" borderId="53" xfId="0" applyFont="1" applyFill="1" applyBorder="1" applyAlignment="1">
      <alignment horizontal="center" vertical="center" wrapText="1"/>
    </xf>
    <xf numFmtId="0" fontId="32" fillId="4" borderId="52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/>
    </xf>
    <xf numFmtId="0" fontId="33" fillId="6" borderId="16" xfId="0" applyFont="1" applyFill="1" applyBorder="1" applyAlignment="1">
      <alignment horizontal="center" vertical="center"/>
    </xf>
    <xf numFmtId="0" fontId="33" fillId="6" borderId="23" xfId="0" applyFont="1" applyFill="1" applyBorder="1" applyAlignment="1">
      <alignment horizontal="center" vertical="center"/>
    </xf>
    <xf numFmtId="0" fontId="33" fillId="6" borderId="17" xfId="0" applyFont="1" applyFill="1" applyBorder="1" applyAlignment="1">
      <alignment horizontal="center" vertical="center"/>
    </xf>
    <xf numFmtId="0" fontId="33" fillId="6" borderId="21" xfId="0" applyFont="1" applyFill="1" applyBorder="1" applyAlignment="1">
      <alignment horizontal="center" vertical="center"/>
    </xf>
    <xf numFmtId="0" fontId="33" fillId="6" borderId="24" xfId="0" applyFont="1" applyFill="1" applyBorder="1" applyAlignment="1">
      <alignment horizontal="center" vertical="center"/>
    </xf>
    <xf numFmtId="0" fontId="33" fillId="6" borderId="22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left" vertical="center" wrapText="1" shrinkToFit="1"/>
    </xf>
    <xf numFmtId="0" fontId="14" fillId="4" borderId="23" xfId="0" applyFont="1" applyFill="1" applyBorder="1" applyAlignment="1">
      <alignment horizontal="left" vertical="center" wrapText="1" shrinkToFit="1"/>
    </xf>
    <xf numFmtId="0" fontId="14" fillId="4" borderId="17" xfId="0" applyFont="1" applyFill="1" applyBorder="1" applyAlignment="1">
      <alignment horizontal="left" vertical="center" wrapText="1" shrinkToFit="1"/>
    </xf>
    <xf numFmtId="0" fontId="14" fillId="4" borderId="21" xfId="0" applyFont="1" applyFill="1" applyBorder="1" applyAlignment="1">
      <alignment horizontal="left" vertical="center" wrapText="1" shrinkToFit="1"/>
    </xf>
    <xf numFmtId="0" fontId="14" fillId="4" borderId="24" xfId="0" applyFont="1" applyFill="1" applyBorder="1" applyAlignment="1">
      <alignment horizontal="left" vertical="center" wrapText="1" shrinkToFit="1"/>
    </xf>
    <xf numFmtId="0" fontId="14" fillId="4" borderId="22" xfId="0" applyFont="1" applyFill="1" applyBorder="1" applyAlignment="1">
      <alignment horizontal="left" vertical="center" wrapText="1" shrinkToFit="1"/>
    </xf>
    <xf numFmtId="4" fontId="14" fillId="0" borderId="56" xfId="0" applyNumberFormat="1" applyFont="1" applyBorder="1" applyAlignment="1">
      <alignment horizontal="center"/>
    </xf>
    <xf numFmtId="4" fontId="14" fillId="0" borderId="36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4" fontId="14" fillId="0" borderId="38" xfId="0" applyNumberFormat="1" applyFont="1" applyBorder="1" applyAlignment="1">
      <alignment horizontal="center"/>
    </xf>
    <xf numFmtId="4" fontId="14" fillId="0" borderId="37" xfId="0" applyNumberFormat="1" applyFont="1" applyBorder="1" applyAlignment="1">
      <alignment horizontal="center"/>
    </xf>
    <xf numFmtId="14" fontId="33" fillId="6" borderId="21" xfId="0" applyNumberFormat="1" applyFont="1" applyFill="1" applyBorder="1" applyAlignment="1">
      <alignment horizontal="center" vertical="center"/>
    </xf>
    <xf numFmtId="14" fontId="33" fillId="6" borderId="22" xfId="0" applyNumberFormat="1" applyFont="1" applyFill="1" applyBorder="1" applyAlignment="1">
      <alignment horizontal="center" vertical="center"/>
    </xf>
    <xf numFmtId="49" fontId="33" fillId="6" borderId="21" xfId="0" applyNumberFormat="1" applyFont="1" applyFill="1" applyBorder="1" applyAlignment="1">
      <alignment horizontal="center" vertical="center"/>
    </xf>
    <xf numFmtId="14" fontId="32" fillId="6" borderId="51" xfId="0" applyNumberFormat="1" applyFont="1" applyFill="1" applyBorder="1" applyAlignment="1">
      <alignment horizontal="center" vertical="center"/>
    </xf>
    <xf numFmtId="14" fontId="32" fillId="6" borderId="53" xfId="0" applyNumberFormat="1" applyFont="1" applyFill="1" applyBorder="1" applyAlignment="1">
      <alignment horizontal="center" vertical="center"/>
    </xf>
    <xf numFmtId="14" fontId="33" fillId="6" borderId="58" xfId="0" applyNumberFormat="1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56" xfId="0" applyFont="1" applyFill="1" applyBorder="1" applyAlignment="1">
      <alignment horizontal="left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23" fillId="4" borderId="21" xfId="0" applyFont="1" applyFill="1" applyBorder="1" applyAlignment="1">
      <alignment horizontal="center"/>
    </xf>
    <xf numFmtId="0" fontId="23" fillId="4" borderId="24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 vertical="center"/>
    </xf>
    <xf numFmtId="0" fontId="14" fillId="4" borderId="35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5" xfId="0" applyFont="1" applyFill="1" applyBorder="1" applyAlignment="1">
      <alignment horizontal="center" vertical="center"/>
    </xf>
    <xf numFmtId="0" fontId="33" fillId="6" borderId="65" xfId="0" applyFont="1" applyFill="1" applyBorder="1" applyAlignment="1">
      <alignment horizontal="center" vertical="center"/>
    </xf>
    <xf numFmtId="0" fontId="33" fillId="6" borderId="67" xfId="0" applyFont="1" applyFill="1" applyBorder="1" applyAlignment="1">
      <alignment horizontal="center" vertical="center"/>
    </xf>
    <xf numFmtId="14" fontId="32" fillId="6" borderId="16" xfId="0" applyNumberFormat="1" applyFont="1" applyFill="1" applyBorder="1" applyAlignment="1">
      <alignment horizontal="center" vertical="center"/>
    </xf>
    <xf numFmtId="14" fontId="32" fillId="6" borderId="23" xfId="0" applyNumberFormat="1" applyFont="1" applyFill="1" applyBorder="1" applyAlignment="1">
      <alignment horizontal="center" vertical="center"/>
    </xf>
    <xf numFmtId="14" fontId="32" fillId="6" borderId="21" xfId="0" applyNumberFormat="1" applyFont="1" applyFill="1" applyBorder="1" applyAlignment="1">
      <alignment horizontal="center" vertical="center"/>
    </xf>
    <xf numFmtId="14" fontId="32" fillId="6" borderId="24" xfId="0" applyNumberFormat="1" applyFont="1" applyFill="1" applyBorder="1" applyAlignment="1">
      <alignment horizontal="center" vertical="center"/>
    </xf>
    <xf numFmtId="14" fontId="14" fillId="3" borderId="23" xfId="0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23" xfId="0" applyFont="1" applyFill="1" applyBorder="1" applyAlignment="1">
      <alignment horizontal="center" vertical="center"/>
    </xf>
    <xf numFmtId="0" fontId="39" fillId="8" borderId="17" xfId="0" applyFont="1" applyFill="1" applyBorder="1" applyAlignment="1">
      <alignment horizontal="center" vertical="center"/>
    </xf>
    <xf numFmtId="0" fontId="32" fillId="8" borderId="16" xfId="0" applyFont="1" applyFill="1" applyBorder="1" applyAlignment="1">
      <alignment horizontal="left" vertical="center" wrapText="1"/>
    </xf>
    <xf numFmtId="0" fontId="32" fillId="8" borderId="23" xfId="0" applyFont="1" applyFill="1" applyBorder="1" applyAlignment="1">
      <alignment horizontal="left" vertical="center" wrapText="1"/>
    </xf>
    <xf numFmtId="0" fontId="32" fillId="8" borderId="17" xfId="0" applyFont="1" applyFill="1" applyBorder="1" applyAlignment="1">
      <alignment horizontal="left" vertical="center" wrapText="1"/>
    </xf>
    <xf numFmtId="0" fontId="32" fillId="8" borderId="19" xfId="0" applyFont="1" applyFill="1" applyBorder="1" applyAlignment="1">
      <alignment horizontal="left" vertical="center" wrapText="1"/>
    </xf>
    <xf numFmtId="0" fontId="32" fillId="8" borderId="0" xfId="0" applyFont="1" applyFill="1" applyBorder="1" applyAlignment="1">
      <alignment horizontal="left" vertical="center" wrapText="1"/>
    </xf>
    <xf numFmtId="0" fontId="32" fillId="8" borderId="20" xfId="0" applyFont="1" applyFill="1" applyBorder="1" applyAlignment="1">
      <alignment horizontal="left" vertical="center" wrapText="1"/>
    </xf>
    <xf numFmtId="0" fontId="32" fillId="8" borderId="21" xfId="0" applyFont="1" applyFill="1" applyBorder="1" applyAlignment="1">
      <alignment horizontal="left" vertical="center" wrapText="1"/>
    </xf>
    <xf numFmtId="0" fontId="32" fillId="8" borderId="24" xfId="0" applyFont="1" applyFill="1" applyBorder="1" applyAlignment="1">
      <alignment horizontal="left" vertical="center" wrapText="1"/>
    </xf>
    <xf numFmtId="0" fontId="32" fillId="8" borderId="22" xfId="0" applyFont="1" applyFill="1" applyBorder="1" applyAlignment="1">
      <alignment horizontal="left" vertical="center" wrapText="1"/>
    </xf>
    <xf numFmtId="14" fontId="32" fillId="8" borderId="51" xfId="0" applyNumberFormat="1" applyFont="1" applyFill="1" applyBorder="1" applyAlignment="1">
      <alignment horizontal="center" vertical="center"/>
    </xf>
    <xf numFmtId="14" fontId="32" fillId="8" borderId="52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Border="1" applyAlignment="1">
      <alignment horizontal="left" vertical="top" wrapText="1"/>
    </xf>
    <xf numFmtId="14" fontId="13" fillId="4" borderId="51" xfId="0" applyNumberFormat="1" applyFont="1" applyFill="1" applyBorder="1" applyAlignment="1">
      <alignment horizontal="left" vertical="center" wrapText="1"/>
    </xf>
    <xf numFmtId="14" fontId="13" fillId="4" borderId="53" xfId="0" applyNumberFormat="1" applyFont="1" applyFill="1" applyBorder="1" applyAlignment="1">
      <alignment horizontal="left" vertical="center" wrapText="1"/>
    </xf>
    <xf numFmtId="14" fontId="13" fillId="4" borderId="51" xfId="0" applyNumberFormat="1" applyFont="1" applyFill="1" applyBorder="1" applyAlignment="1">
      <alignment horizontal="left"/>
    </xf>
    <xf numFmtId="14" fontId="13" fillId="4" borderId="53" xfId="0" applyNumberFormat="1" applyFont="1" applyFill="1" applyBorder="1" applyAlignment="1">
      <alignment horizontal="left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14" fontId="14" fillId="3" borderId="0" xfId="0" applyNumberFormat="1" applyFont="1" applyFill="1" applyBorder="1" applyAlignment="1">
      <alignment horizontal="left" vertical="center" wrapText="1"/>
    </xf>
    <xf numFmtId="14" fontId="13" fillId="3" borderId="0" xfId="0" applyNumberFormat="1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horizontal="center" vertical="center" wrapText="1"/>
    </xf>
    <xf numFmtId="0" fontId="17" fillId="4" borderId="52" xfId="0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4" fontId="16" fillId="3" borderId="31" xfId="0" applyNumberFormat="1" applyFont="1" applyFill="1" applyBorder="1" applyAlignment="1">
      <alignment horizontal="center" vertical="center"/>
    </xf>
    <xf numFmtId="4" fontId="16" fillId="3" borderId="55" xfId="0" applyNumberFormat="1" applyFont="1" applyFill="1" applyBorder="1" applyAlignment="1">
      <alignment horizontal="center" vertical="center"/>
    </xf>
    <xf numFmtId="4" fontId="16" fillId="3" borderId="32" xfId="0" applyNumberFormat="1" applyFont="1" applyFill="1" applyBorder="1" applyAlignment="1">
      <alignment horizontal="center" vertical="center"/>
    </xf>
    <xf numFmtId="4" fontId="16" fillId="3" borderId="78" xfId="0" applyNumberFormat="1" applyFont="1" applyFill="1" applyBorder="1" applyAlignment="1">
      <alignment horizontal="center" vertical="center"/>
    </xf>
    <xf numFmtId="0" fontId="16" fillId="4" borderId="56" xfId="0" applyFont="1" applyFill="1" applyBorder="1" applyAlignment="1">
      <alignment horizontal="left"/>
    </xf>
    <xf numFmtId="0" fontId="16" fillId="4" borderId="48" xfId="0" applyFont="1" applyFill="1" applyBorder="1" applyAlignment="1">
      <alignment horizontal="left"/>
    </xf>
    <xf numFmtId="0" fontId="16" fillId="4" borderId="18" xfId="0" applyFont="1" applyFill="1" applyBorder="1" applyAlignment="1">
      <alignment horizontal="left"/>
    </xf>
    <xf numFmtId="4" fontId="16" fillId="0" borderId="14" xfId="0" applyNumberFormat="1" applyFont="1" applyBorder="1" applyAlignment="1">
      <alignment horizontal="center"/>
    </xf>
    <xf numFmtId="4" fontId="16" fillId="0" borderId="15" xfId="0" applyNumberFormat="1" applyFont="1" applyBorder="1" applyAlignment="1">
      <alignment horizontal="center"/>
    </xf>
    <xf numFmtId="4" fontId="16" fillId="0" borderId="38" xfId="0" applyNumberFormat="1" applyFont="1" applyBorder="1" applyAlignment="1">
      <alignment horizontal="center"/>
    </xf>
    <xf numFmtId="4" fontId="16" fillId="0" borderId="37" xfId="0" applyNumberFormat="1" applyFont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22" xfId="0" applyNumberFormat="1" applyFont="1" applyBorder="1" applyAlignment="1">
      <alignment horizontal="center"/>
    </xf>
    <xf numFmtId="4" fontId="16" fillId="0" borderId="31" xfId="0" applyNumberFormat="1" applyFont="1" applyBorder="1" applyAlignment="1">
      <alignment horizontal="center"/>
    </xf>
    <xf numFmtId="4" fontId="16" fillId="0" borderId="55" xfId="0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left"/>
    </xf>
    <xf numFmtId="0" fontId="16" fillId="4" borderId="14" xfId="0" applyFont="1" applyFill="1" applyBorder="1" applyAlignment="1">
      <alignment horizontal="left"/>
    </xf>
    <xf numFmtId="0" fontId="16" fillId="4" borderId="26" xfId="0" applyFont="1" applyFill="1" applyBorder="1" applyAlignment="1">
      <alignment horizontal="left"/>
    </xf>
    <xf numFmtId="0" fontId="17" fillId="4" borderId="23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14" fontId="17" fillId="4" borderId="24" xfId="0" applyNumberFormat="1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14" fontId="17" fillId="4" borderId="21" xfId="0" applyNumberFormat="1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56" fillId="4" borderId="51" xfId="709" applyFont="1" applyFill="1" applyBorder="1" applyAlignment="1">
      <alignment horizontal="center"/>
    </xf>
    <xf numFmtId="0" fontId="16" fillId="4" borderId="16" xfId="0" applyFont="1" applyFill="1" applyBorder="1" applyAlignment="1">
      <alignment horizontal="left" vertical="center"/>
    </xf>
    <xf numFmtId="0" fontId="16" fillId="4" borderId="23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left" vertical="center"/>
    </xf>
    <xf numFmtId="0" fontId="16" fillId="4" borderId="24" xfId="0" applyFont="1" applyFill="1" applyBorder="1" applyAlignment="1">
      <alignment horizontal="left" vertical="center"/>
    </xf>
    <xf numFmtId="0" fontId="16" fillId="4" borderId="22" xfId="0" applyFont="1" applyFill="1" applyBorder="1" applyAlignment="1">
      <alignment horizontal="left" vertical="center"/>
    </xf>
    <xf numFmtId="0" fontId="40" fillId="0" borderId="23" xfId="709" applyFont="1" applyBorder="1" applyAlignment="1">
      <alignment horizontal="left"/>
    </xf>
    <xf numFmtId="0" fontId="36" fillId="4" borderId="51" xfId="709" applyFont="1" applyFill="1" applyBorder="1" applyAlignment="1">
      <alignment horizontal="center" vertical="center"/>
    </xf>
    <xf numFmtId="0" fontId="36" fillId="4" borderId="52" xfId="709" applyFont="1" applyFill="1" applyBorder="1" applyAlignment="1">
      <alignment horizontal="center" vertical="center"/>
    </xf>
    <xf numFmtId="0" fontId="36" fillId="4" borderId="53" xfId="709" applyFont="1" applyFill="1" applyBorder="1" applyAlignment="1">
      <alignment horizontal="center" vertical="center"/>
    </xf>
    <xf numFmtId="0" fontId="65" fillId="4" borderId="51" xfId="709" applyFont="1" applyFill="1" applyBorder="1" applyAlignment="1">
      <alignment horizontal="center" vertical="center"/>
    </xf>
    <xf numFmtId="0" fontId="65" fillId="4" borderId="52" xfId="709" applyFont="1" applyFill="1" applyBorder="1" applyAlignment="1">
      <alignment horizontal="center" vertical="center"/>
    </xf>
    <xf numFmtId="0" fontId="65" fillId="4" borderId="53" xfId="709" applyFont="1" applyFill="1" applyBorder="1" applyAlignment="1">
      <alignment horizontal="center" vertical="center"/>
    </xf>
    <xf numFmtId="0" fontId="66" fillId="4" borderId="51" xfId="709" applyFont="1" applyFill="1" applyBorder="1" applyAlignment="1">
      <alignment horizontal="center" vertical="center" wrapText="1"/>
    </xf>
    <xf numFmtId="0" fontId="66" fillId="4" borderId="52" xfId="709" applyFont="1" applyFill="1" applyBorder="1" applyAlignment="1">
      <alignment horizontal="center" vertical="center" wrapText="1"/>
    </xf>
    <xf numFmtId="0" fontId="66" fillId="4" borderId="53" xfId="709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58" xfId="0" applyFont="1" applyFill="1" applyBorder="1" applyAlignment="1">
      <alignment horizontal="center"/>
    </xf>
    <xf numFmtId="0" fontId="17" fillId="4" borderId="59" xfId="0" applyFont="1" applyFill="1" applyBorder="1" applyAlignment="1">
      <alignment horizontal="center"/>
    </xf>
    <xf numFmtId="14" fontId="17" fillId="4" borderId="31" xfId="0" applyNumberFormat="1" applyFont="1" applyFill="1" applyBorder="1" applyAlignment="1">
      <alignment horizontal="center"/>
    </xf>
    <xf numFmtId="14" fontId="17" fillId="4" borderId="55" xfId="0" applyNumberFormat="1" applyFont="1" applyFill="1" applyBorder="1" applyAlignment="1">
      <alignment horizontal="center"/>
    </xf>
    <xf numFmtId="0" fontId="16" fillId="4" borderId="19" xfId="0" applyFont="1" applyFill="1" applyBorder="1" applyAlignment="1">
      <alignment horizontal="left" vertical="center" wrapText="1" shrinkToFit="1"/>
    </xf>
    <xf numFmtId="0" fontId="16" fillId="4" borderId="0" xfId="0" applyFont="1" applyFill="1" applyBorder="1" applyAlignment="1">
      <alignment horizontal="left" vertical="center" wrapText="1" shrinkToFit="1"/>
    </xf>
    <xf numFmtId="0" fontId="16" fillId="4" borderId="20" xfId="0" applyFont="1" applyFill="1" applyBorder="1" applyAlignment="1">
      <alignment horizontal="left" vertical="center" wrapText="1" shrinkToFit="1"/>
    </xf>
    <xf numFmtId="0" fontId="16" fillId="4" borderId="21" xfId="0" applyFont="1" applyFill="1" applyBorder="1" applyAlignment="1">
      <alignment horizontal="left" vertical="center" wrapText="1" shrinkToFit="1"/>
    </xf>
    <xf numFmtId="0" fontId="16" fillId="4" borderId="24" xfId="0" applyFont="1" applyFill="1" applyBorder="1" applyAlignment="1">
      <alignment horizontal="left" vertical="center" wrapText="1" shrinkToFit="1"/>
    </xf>
    <xf numFmtId="0" fontId="16" fillId="4" borderId="22" xfId="0" applyFont="1" applyFill="1" applyBorder="1" applyAlignment="1">
      <alignment horizontal="left" vertical="center" wrapText="1" shrinkToFit="1"/>
    </xf>
    <xf numFmtId="0" fontId="16" fillId="4" borderId="16" xfId="0" applyFont="1" applyFill="1" applyBorder="1" applyAlignment="1">
      <alignment horizontal="left" vertical="center" wrapText="1" shrinkToFit="1"/>
    </xf>
    <xf numFmtId="0" fontId="16" fillId="4" borderId="23" xfId="0" applyFont="1" applyFill="1" applyBorder="1" applyAlignment="1">
      <alignment horizontal="left" vertical="center" wrapText="1" shrinkToFit="1"/>
    </xf>
    <xf numFmtId="0" fontId="16" fillId="4" borderId="17" xfId="0" applyFont="1" applyFill="1" applyBorder="1" applyAlignment="1">
      <alignment horizontal="left" vertical="center" wrapText="1" shrinkToFit="1"/>
    </xf>
    <xf numFmtId="0" fontId="36" fillId="4" borderId="51" xfId="709" applyFont="1" applyFill="1" applyBorder="1" applyAlignment="1">
      <alignment horizontal="center" vertical="center" wrapText="1"/>
    </xf>
    <xf numFmtId="0" fontId="46" fillId="4" borderId="52" xfId="709" applyFont="1" applyFill="1" applyBorder="1" applyAlignment="1">
      <alignment horizontal="center" vertical="center" wrapText="1"/>
    </xf>
    <xf numFmtId="0" fontId="46" fillId="4" borderId="53" xfId="709" applyFont="1" applyFill="1" applyBorder="1" applyAlignment="1">
      <alignment horizontal="center" vertical="center" wrapText="1"/>
    </xf>
    <xf numFmtId="0" fontId="36" fillId="4" borderId="52" xfId="709" applyFont="1" applyFill="1" applyBorder="1" applyAlignment="1">
      <alignment horizontal="center" vertical="center" wrapText="1"/>
    </xf>
    <xf numFmtId="0" fontId="36" fillId="4" borderId="53" xfId="709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/>
    </xf>
    <xf numFmtId="0" fontId="65" fillId="4" borderId="44" xfId="709" applyFont="1" applyFill="1" applyBorder="1" applyAlignment="1">
      <alignment horizontal="left"/>
    </xf>
    <xf numFmtId="0" fontId="65" fillId="4" borderId="47" xfId="709" applyFont="1" applyFill="1" applyBorder="1" applyAlignment="1">
      <alignment horizontal="left"/>
    </xf>
    <xf numFmtId="0" fontId="65" fillId="4" borderId="56" xfId="709" applyFont="1" applyFill="1" applyBorder="1" applyAlignment="1">
      <alignment horizontal="left"/>
    </xf>
    <xf numFmtId="0" fontId="65" fillId="4" borderId="48" xfId="709" applyFont="1" applyFill="1" applyBorder="1" applyAlignment="1">
      <alignment horizontal="left"/>
    </xf>
    <xf numFmtId="0" fontId="16" fillId="4" borderId="28" xfId="0" applyFont="1" applyFill="1" applyBorder="1" applyAlignment="1">
      <alignment horizontal="center" vertical="center" wrapText="1" shrinkToFit="1"/>
    </xf>
    <xf numFmtId="0" fontId="16" fillId="4" borderId="29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16" fillId="4" borderId="14" xfId="0" applyFont="1" applyFill="1" applyBorder="1" applyAlignment="1">
      <alignment horizontal="center" vertical="center" wrapText="1" shrinkToFit="1"/>
    </xf>
    <xf numFmtId="0" fontId="16" fillId="4" borderId="15" xfId="0" applyFont="1" applyFill="1" applyBorder="1" applyAlignment="1">
      <alignment horizontal="center" vertical="center" wrapText="1" shrinkToFit="1"/>
    </xf>
    <xf numFmtId="0" fontId="16" fillId="4" borderId="28" xfId="0" applyFont="1" applyFill="1" applyBorder="1" applyAlignment="1">
      <alignment horizontal="left" wrapText="1" shrinkToFit="1"/>
    </xf>
    <xf numFmtId="0" fontId="16" fillId="4" borderId="29" xfId="0" applyFont="1" applyFill="1" applyBorder="1" applyAlignment="1">
      <alignment horizontal="left" wrapText="1" shrinkToFit="1"/>
    </xf>
    <xf numFmtId="0" fontId="16" fillId="4" borderId="44" xfId="0" applyFont="1" applyFill="1" applyBorder="1" applyAlignment="1">
      <alignment horizontal="left" wrapText="1" shrinkToFit="1"/>
    </xf>
    <xf numFmtId="0" fontId="16" fillId="4" borderId="47" xfId="0" applyFont="1" applyFill="1" applyBorder="1" applyAlignment="1">
      <alignment horizontal="left" wrapText="1" shrinkToFit="1"/>
    </xf>
    <xf numFmtId="0" fontId="16" fillId="4" borderId="30" xfId="0" applyFont="1" applyFill="1" applyBorder="1" applyAlignment="1">
      <alignment horizontal="left" wrapText="1" shrinkToFit="1"/>
    </xf>
    <xf numFmtId="0" fontId="16" fillId="4" borderId="45" xfId="0" applyFont="1" applyFill="1" applyBorder="1" applyAlignment="1">
      <alignment horizontal="left" wrapText="1" shrinkToFit="1"/>
    </xf>
    <xf numFmtId="0" fontId="16" fillId="4" borderId="34" xfId="0" applyFont="1" applyFill="1" applyBorder="1" applyAlignment="1">
      <alignment horizontal="left" wrapText="1" shrinkToFit="1"/>
    </xf>
    <xf numFmtId="0" fontId="16" fillId="4" borderId="2" xfId="0" applyFont="1" applyFill="1" applyBorder="1" applyAlignment="1">
      <alignment horizontal="left" wrapText="1" shrinkToFit="1"/>
    </xf>
    <xf numFmtId="4" fontId="16" fillId="0" borderId="42" xfId="0" applyNumberFormat="1" applyFont="1" applyBorder="1" applyAlignment="1">
      <alignment horizontal="center"/>
    </xf>
    <xf numFmtId="4" fontId="16" fillId="0" borderId="46" xfId="0" applyNumberFormat="1" applyFont="1" applyBorder="1" applyAlignment="1">
      <alignment horizontal="center"/>
    </xf>
    <xf numFmtId="2" fontId="16" fillId="0" borderId="42" xfId="0" applyNumberFormat="1" applyFont="1" applyBorder="1" applyAlignment="1">
      <alignment horizontal="center"/>
    </xf>
    <xf numFmtId="2" fontId="16" fillId="0" borderId="46" xfId="0" applyNumberFormat="1" applyFont="1" applyBorder="1" applyAlignment="1">
      <alignment horizontal="center"/>
    </xf>
    <xf numFmtId="0" fontId="16" fillId="4" borderId="44" xfId="0" applyFont="1" applyFill="1" applyBorder="1" applyAlignment="1">
      <alignment horizontal="left" vertical="center" wrapText="1" shrinkToFit="1"/>
    </xf>
    <xf numFmtId="0" fontId="16" fillId="4" borderId="47" xfId="0" applyFont="1" applyFill="1" applyBorder="1" applyAlignment="1">
      <alignment horizontal="left" vertical="center" wrapText="1" shrinkToFit="1"/>
    </xf>
    <xf numFmtId="0" fontId="16" fillId="4" borderId="27" xfId="0" applyFont="1" applyFill="1" applyBorder="1" applyAlignment="1">
      <alignment horizontal="left" vertical="center" wrapText="1" shrinkToFit="1"/>
    </xf>
    <xf numFmtId="0" fontId="16" fillId="4" borderId="56" xfId="0" applyFont="1" applyFill="1" applyBorder="1" applyAlignment="1">
      <alignment horizontal="left" vertical="center" wrapText="1" shrinkToFit="1"/>
    </xf>
    <xf numFmtId="0" fontId="16" fillId="4" borderId="48" xfId="0" applyFont="1" applyFill="1" applyBorder="1" applyAlignment="1">
      <alignment horizontal="left" vertical="center" wrapText="1" shrinkToFit="1"/>
    </xf>
    <xf numFmtId="0" fontId="16" fillId="4" borderId="36" xfId="0" applyFont="1" applyFill="1" applyBorder="1" applyAlignment="1">
      <alignment horizontal="left" vertical="center" wrapText="1" shrinkToFit="1"/>
    </xf>
    <xf numFmtId="0" fontId="16" fillId="4" borderId="1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left" wrapText="1" shrinkToFit="1"/>
    </xf>
    <xf numFmtId="0" fontId="16" fillId="4" borderId="0" xfId="0" applyFont="1" applyFill="1" applyBorder="1" applyAlignment="1">
      <alignment horizontal="left" wrapText="1" shrinkToFit="1"/>
    </xf>
    <xf numFmtId="0" fontId="14" fillId="4" borderId="28" xfId="0" applyFont="1" applyFill="1" applyBorder="1" applyAlignment="1">
      <alignment horizontal="left" vertical="center" wrapText="1" shrinkToFit="1"/>
    </xf>
    <xf numFmtId="0" fontId="14" fillId="4" borderId="29" xfId="0" applyFont="1" applyFill="1" applyBorder="1" applyAlignment="1">
      <alignment horizontal="left" vertical="center" wrapText="1" shrinkToFit="1"/>
    </xf>
    <xf numFmtId="0" fontId="14" fillId="4" borderId="30" xfId="0" applyFont="1" applyFill="1" applyBorder="1" applyAlignment="1">
      <alignment horizontal="left" vertical="center" wrapText="1" shrinkToFit="1"/>
    </xf>
    <xf numFmtId="0" fontId="14" fillId="4" borderId="34" xfId="0" applyFont="1" applyFill="1" applyBorder="1" applyAlignment="1">
      <alignment horizontal="left" vertical="center" wrapText="1" shrinkToFit="1"/>
    </xf>
    <xf numFmtId="0" fontId="14" fillId="4" borderId="2" xfId="0" applyFont="1" applyFill="1" applyBorder="1" applyAlignment="1">
      <alignment horizontal="left" vertical="center" wrapText="1" shrinkToFit="1"/>
    </xf>
    <xf numFmtId="0" fontId="14" fillId="4" borderId="45" xfId="0" applyFont="1" applyFill="1" applyBorder="1" applyAlignment="1">
      <alignment horizontal="left" vertical="center" wrapText="1" shrinkToFit="1"/>
    </xf>
    <xf numFmtId="0" fontId="14" fillId="4" borderId="56" xfId="0" applyFont="1" applyFill="1" applyBorder="1" applyAlignment="1">
      <alignment horizontal="left" vertical="center" wrapText="1" shrinkToFit="1"/>
    </xf>
    <xf numFmtId="0" fontId="14" fillId="4" borderId="48" xfId="0" applyFont="1" applyFill="1" applyBorder="1" applyAlignment="1">
      <alignment horizontal="left" vertical="center" wrapText="1" shrinkToFit="1"/>
    </xf>
    <xf numFmtId="0" fontId="14" fillId="4" borderId="28" xfId="0" applyFont="1" applyFill="1" applyBorder="1" applyAlignment="1">
      <alignment horizontal="center" vertical="center" wrapText="1" shrinkToFit="1"/>
    </xf>
    <xf numFmtId="0" fontId="14" fillId="4" borderId="29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center" vertical="center" wrapText="1" shrinkToFit="1"/>
    </xf>
    <xf numFmtId="0" fontId="14" fillId="4" borderId="14" xfId="0" applyFont="1" applyFill="1" applyBorder="1" applyAlignment="1">
      <alignment horizontal="center" vertical="center" wrapText="1" shrinkToFit="1"/>
    </xf>
    <xf numFmtId="0" fontId="14" fillId="4" borderId="15" xfId="0" applyFont="1" applyFill="1" applyBorder="1" applyAlignment="1">
      <alignment horizontal="center" vertical="center" wrapText="1" shrinkToFit="1"/>
    </xf>
    <xf numFmtId="0" fontId="14" fillId="4" borderId="44" xfId="0" applyFont="1" applyFill="1" applyBorder="1" applyAlignment="1">
      <alignment horizontal="left" vertical="center" wrapText="1" shrinkToFit="1"/>
    </xf>
    <xf numFmtId="0" fontId="14" fillId="4" borderId="47" xfId="0" applyFont="1" applyFill="1" applyBorder="1" applyAlignment="1">
      <alignment horizontal="left" vertical="center" wrapText="1" shrinkToFit="1"/>
    </xf>
    <xf numFmtId="0" fontId="13" fillId="4" borderId="28" xfId="0" applyFont="1" applyFill="1" applyBorder="1" applyAlignment="1">
      <alignment horizontal="left" vertical="center" wrapText="1" shrinkToFit="1"/>
    </xf>
    <xf numFmtId="0" fontId="13" fillId="4" borderId="29" xfId="0" applyFont="1" applyFill="1" applyBorder="1" applyAlignment="1">
      <alignment horizontal="left" vertical="center" wrapText="1" shrinkToFit="1"/>
    </xf>
    <xf numFmtId="0" fontId="13" fillId="4" borderId="30" xfId="0" applyFont="1" applyFill="1" applyBorder="1" applyAlignment="1">
      <alignment horizontal="left" vertical="center" wrapText="1" shrinkToFit="1"/>
    </xf>
    <xf numFmtId="0" fontId="13" fillId="4" borderId="34" xfId="0" applyFont="1" applyFill="1" applyBorder="1" applyAlignment="1">
      <alignment horizontal="left" vertical="center" wrapText="1" shrinkToFit="1"/>
    </xf>
    <xf numFmtId="0" fontId="13" fillId="4" borderId="2" xfId="0" applyFont="1" applyFill="1" applyBorder="1" applyAlignment="1">
      <alignment horizontal="left" vertical="center" wrapText="1" shrinkToFit="1"/>
    </xf>
    <xf numFmtId="0" fontId="13" fillId="4" borderId="45" xfId="0" applyFont="1" applyFill="1" applyBorder="1" applyAlignment="1">
      <alignment horizontal="left" vertical="center" wrapText="1" shrinkToFit="1"/>
    </xf>
    <xf numFmtId="0" fontId="38" fillId="4" borderId="44" xfId="709" applyFont="1" applyFill="1" applyBorder="1" applyAlignment="1">
      <alignment horizontal="left"/>
    </xf>
    <xf numFmtId="0" fontId="38" fillId="4" borderId="47" xfId="709" applyFont="1" applyFill="1" applyBorder="1" applyAlignment="1">
      <alignment horizontal="left"/>
    </xf>
    <xf numFmtId="0" fontId="23" fillId="4" borderId="19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36" fillId="4" borderId="51" xfId="709" applyFont="1" applyFill="1" applyBorder="1" applyAlignment="1">
      <alignment horizontal="center"/>
    </xf>
    <xf numFmtId="0" fontId="36" fillId="4" borderId="52" xfId="709" applyFont="1" applyFill="1" applyBorder="1" applyAlignment="1">
      <alignment horizontal="center"/>
    </xf>
    <xf numFmtId="0" fontId="36" fillId="4" borderId="53" xfId="709" applyFont="1" applyFill="1" applyBorder="1" applyAlignment="1">
      <alignment horizontal="center"/>
    </xf>
    <xf numFmtId="0" fontId="36" fillId="4" borderId="16" xfId="709" applyFont="1" applyFill="1" applyBorder="1" applyAlignment="1">
      <alignment horizontal="center"/>
    </xf>
    <xf numFmtId="0" fontId="36" fillId="4" borderId="23" xfId="709" applyFont="1" applyFill="1" applyBorder="1" applyAlignment="1">
      <alignment horizontal="center"/>
    </xf>
    <xf numFmtId="0" fontId="36" fillId="4" borderId="17" xfId="709" applyFont="1" applyFill="1" applyBorder="1" applyAlignment="1">
      <alignment horizontal="center"/>
    </xf>
    <xf numFmtId="0" fontId="47" fillId="0" borderId="0" xfId="709" applyFont="1" applyAlignment="1">
      <alignment horizontal="center"/>
    </xf>
    <xf numFmtId="0" fontId="48" fillId="0" borderId="0" xfId="709" applyFont="1" applyAlignment="1">
      <alignment horizontal="center"/>
    </xf>
    <xf numFmtId="0" fontId="14" fillId="4" borderId="9" xfId="0" applyFont="1" applyFill="1" applyBorder="1" applyAlignment="1">
      <alignment horizontal="left" vertical="center" wrapText="1" shrinkToFit="1"/>
    </xf>
    <xf numFmtId="0" fontId="14" fillId="4" borderId="10" xfId="0" applyFont="1" applyFill="1" applyBorder="1" applyAlignment="1">
      <alignment horizontal="left" vertical="center" wrapText="1" shrinkToFit="1"/>
    </xf>
    <xf numFmtId="0" fontId="14" fillId="4" borderId="7" xfId="0" applyFont="1" applyFill="1" applyBorder="1" applyAlignment="1">
      <alignment horizontal="left" vertical="center" wrapText="1" shrinkToFit="1"/>
    </xf>
    <xf numFmtId="0" fontId="14" fillId="4" borderId="1" xfId="0" applyFont="1" applyFill="1" applyBorder="1" applyAlignment="1">
      <alignment horizontal="left" vertical="center" wrapText="1" shrinkToFit="1"/>
    </xf>
    <xf numFmtId="0" fontId="14" fillId="3" borderId="61" xfId="0" applyFont="1" applyFill="1" applyBorder="1" applyAlignment="1">
      <alignment horizontal="left" vertical="center" wrapText="1"/>
    </xf>
    <xf numFmtId="0" fontId="41" fillId="0" borderId="0" xfId="709" applyFont="1" applyAlignment="1">
      <alignment horizontal="center"/>
    </xf>
    <xf numFmtId="0" fontId="49" fillId="0" borderId="0" xfId="709" applyFont="1" applyAlignment="1">
      <alignment horizontal="left" vertical="center" wrapText="1"/>
    </xf>
    <xf numFmtId="0" fontId="38" fillId="0" borderId="0" xfId="709" applyFont="1" applyAlignment="1">
      <alignment horizontal="left" vertical="top" wrapText="1"/>
    </xf>
    <xf numFmtId="0" fontId="49" fillId="0" borderId="0" xfId="709" applyFont="1" applyAlignment="1">
      <alignment horizontal="left" vertical="top" wrapText="1"/>
    </xf>
    <xf numFmtId="0" fontId="13" fillId="3" borderId="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left" vertical="center" wrapText="1"/>
    </xf>
    <xf numFmtId="0" fontId="13" fillId="4" borderId="52" xfId="0" applyFont="1" applyFill="1" applyBorder="1" applyAlignment="1">
      <alignment horizontal="left" vertical="center" wrapText="1"/>
    </xf>
    <xf numFmtId="0" fontId="13" fillId="4" borderId="61" xfId="0" applyFont="1" applyFill="1" applyBorder="1" applyAlignment="1">
      <alignment horizontal="left" vertical="center" wrapText="1"/>
    </xf>
    <xf numFmtId="4" fontId="40" fillId="0" borderId="68" xfId="709" applyNumberFormat="1" applyFont="1" applyBorder="1" applyAlignment="1">
      <alignment horizontal="center" vertical="center" wrapText="1"/>
    </xf>
    <xf numFmtId="4" fontId="40" fillId="0" borderId="46" xfId="709" applyNumberFormat="1" applyFont="1" applyBorder="1" applyAlignment="1">
      <alignment horizontal="center" vertical="center" wrapText="1"/>
    </xf>
    <xf numFmtId="2" fontId="40" fillId="0" borderId="68" xfId="709" applyNumberFormat="1" applyFont="1" applyBorder="1" applyAlignment="1">
      <alignment horizontal="center" vertical="center" wrapText="1"/>
    </xf>
    <xf numFmtId="2" fontId="40" fillId="0" borderId="46" xfId="709" applyNumberFormat="1" applyFont="1" applyBorder="1" applyAlignment="1">
      <alignment horizontal="center" vertical="center" wrapText="1"/>
    </xf>
    <xf numFmtId="4" fontId="40" fillId="0" borderId="43" xfId="709" applyNumberFormat="1" applyFont="1" applyBorder="1" applyAlignment="1">
      <alignment horizontal="center" vertical="center" wrapText="1"/>
    </xf>
    <xf numFmtId="2" fontId="40" fillId="0" borderId="43" xfId="709" applyNumberFormat="1" applyFont="1" applyBorder="1" applyAlignment="1">
      <alignment horizontal="center" vertical="center" wrapText="1"/>
    </xf>
    <xf numFmtId="0" fontId="38" fillId="4" borderId="51" xfId="709" applyFont="1" applyFill="1" applyBorder="1" applyAlignment="1">
      <alignment horizontal="center"/>
    </xf>
    <xf numFmtId="0" fontId="38" fillId="4" borderId="52" xfId="709" applyFont="1" applyFill="1" applyBorder="1" applyAlignment="1">
      <alignment horizontal="center"/>
    </xf>
    <xf numFmtId="0" fontId="38" fillId="4" borderId="53" xfId="709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 wrapText="1" shrinkToFit="1"/>
    </xf>
    <xf numFmtId="0" fontId="14" fillId="4" borderId="36" xfId="0" applyFont="1" applyFill="1" applyBorder="1" applyAlignment="1">
      <alignment horizontal="left" vertical="center" wrapText="1" shrinkToFit="1"/>
    </xf>
    <xf numFmtId="0" fontId="14" fillId="4" borderId="19" xfId="0" applyFont="1" applyFill="1" applyBorder="1" applyAlignment="1">
      <alignment horizontal="left" vertical="center" wrapText="1" shrinkToFit="1"/>
    </xf>
    <xf numFmtId="0" fontId="14" fillId="4" borderId="0" xfId="0" applyFont="1" applyFill="1" applyBorder="1" applyAlignment="1">
      <alignment horizontal="left" vertical="center" wrapText="1" shrinkToFit="1"/>
    </xf>
    <xf numFmtId="0" fontId="67" fillId="4" borderId="19" xfId="709" applyFont="1" applyFill="1" applyBorder="1" applyAlignment="1">
      <alignment horizontal="center" wrapText="1"/>
    </xf>
    <xf numFmtId="0" fontId="67" fillId="4" borderId="0" xfId="709" applyFont="1" applyFill="1" applyBorder="1" applyAlignment="1">
      <alignment horizontal="center" wrapText="1"/>
    </xf>
    <xf numFmtId="0" fontId="67" fillId="4" borderId="20" xfId="709" applyFont="1" applyFill="1" applyBorder="1" applyAlignment="1">
      <alignment horizontal="center" wrapText="1"/>
    </xf>
    <xf numFmtId="0" fontId="67" fillId="4" borderId="21" xfId="709" applyFont="1" applyFill="1" applyBorder="1" applyAlignment="1">
      <alignment horizontal="center" wrapText="1"/>
    </xf>
    <xf numFmtId="0" fontId="67" fillId="4" borderId="24" xfId="709" applyFont="1" applyFill="1" applyBorder="1" applyAlignment="1">
      <alignment horizontal="center" wrapText="1"/>
    </xf>
    <xf numFmtId="0" fontId="67" fillId="4" borderId="22" xfId="709" applyFont="1" applyFill="1" applyBorder="1" applyAlignment="1">
      <alignment horizontal="center" wrapText="1"/>
    </xf>
    <xf numFmtId="0" fontId="13" fillId="4" borderId="16" xfId="0" applyFont="1" applyFill="1" applyBorder="1" applyAlignment="1">
      <alignment horizontal="left" vertical="center" wrapText="1" shrinkToFit="1"/>
    </xf>
    <xf numFmtId="0" fontId="13" fillId="4" borderId="23" xfId="0" applyFont="1" applyFill="1" applyBorder="1" applyAlignment="1">
      <alignment horizontal="left" vertical="center" wrapText="1" shrinkToFit="1"/>
    </xf>
    <xf numFmtId="0" fontId="13" fillId="4" borderId="17" xfId="0" applyFont="1" applyFill="1" applyBorder="1" applyAlignment="1">
      <alignment horizontal="left" vertical="center" wrapText="1" shrinkToFit="1"/>
    </xf>
    <xf numFmtId="0" fontId="13" fillId="4" borderId="19" xfId="0" applyFont="1" applyFill="1" applyBorder="1" applyAlignment="1">
      <alignment horizontal="left" vertical="center" wrapText="1" shrinkToFit="1"/>
    </xf>
    <xf numFmtId="0" fontId="13" fillId="4" borderId="0" xfId="0" applyFont="1" applyFill="1" applyBorder="1" applyAlignment="1">
      <alignment horizontal="left" vertical="center" wrapText="1" shrinkToFit="1"/>
    </xf>
    <xf numFmtId="0" fontId="13" fillId="4" borderId="20" xfId="0" applyFont="1" applyFill="1" applyBorder="1" applyAlignment="1">
      <alignment horizontal="left" vertical="center" wrapText="1" shrinkToFit="1"/>
    </xf>
    <xf numFmtId="0" fontId="43" fillId="0" borderId="23" xfId="709" applyFont="1" applyBorder="1" applyAlignment="1">
      <alignment horizontal="center"/>
    </xf>
    <xf numFmtId="0" fontId="43" fillId="0" borderId="24" xfId="709" applyFont="1" applyBorder="1" applyAlignment="1">
      <alignment horizontal="center"/>
    </xf>
    <xf numFmtId="0" fontId="14" fillId="4" borderId="19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 wrapText="1" shrinkToFit="1"/>
    </xf>
    <xf numFmtId="0" fontId="14" fillId="4" borderId="16" xfId="0" applyFont="1" applyFill="1" applyBorder="1" applyAlignment="1">
      <alignment horizontal="center" vertical="center" wrapText="1" shrinkToFit="1"/>
    </xf>
    <xf numFmtId="0" fontId="14" fillId="4" borderId="23" xfId="0" applyFont="1" applyFill="1" applyBorder="1" applyAlignment="1">
      <alignment horizontal="center" vertical="center" wrapText="1" shrinkToFit="1"/>
    </xf>
    <xf numFmtId="0" fontId="14" fillId="4" borderId="17" xfId="0" applyFont="1" applyFill="1" applyBorder="1" applyAlignment="1">
      <alignment horizontal="center" vertical="center" wrapText="1" shrinkToFit="1"/>
    </xf>
    <xf numFmtId="0" fontId="14" fillId="4" borderId="20" xfId="0" applyFont="1" applyFill="1" applyBorder="1" applyAlignment="1">
      <alignment horizontal="left" vertical="center" wrapText="1" shrinkToFit="1"/>
    </xf>
    <xf numFmtId="0" fontId="49" fillId="0" borderId="0" xfId="709" applyFont="1" applyAlignment="1">
      <alignment horizontal="center"/>
    </xf>
    <xf numFmtId="0" fontId="14" fillId="4" borderId="20" xfId="0" applyFont="1" applyFill="1" applyBorder="1" applyAlignment="1">
      <alignment horizontal="center" vertical="center" wrapText="1" shrinkToFit="1"/>
    </xf>
    <xf numFmtId="0" fontId="14" fillId="4" borderId="13" xfId="0" applyFont="1" applyFill="1" applyBorder="1" applyAlignment="1">
      <alignment horizontal="left" vertical="center" wrapText="1" shrinkToFit="1"/>
    </xf>
    <xf numFmtId="0" fontId="14" fillId="4" borderId="14" xfId="0" applyFont="1" applyFill="1" applyBorder="1" applyAlignment="1">
      <alignment horizontal="left" vertical="center" wrapText="1" shrinkToFit="1"/>
    </xf>
    <xf numFmtId="0" fontId="36" fillId="4" borderId="15" xfId="709" applyFont="1" applyFill="1" applyBorder="1" applyAlignment="1">
      <alignment horizontal="center"/>
    </xf>
    <xf numFmtId="0" fontId="68" fillId="4" borderId="21" xfId="709" applyFont="1" applyFill="1" applyBorder="1" applyAlignment="1">
      <alignment horizontal="center" vertical="center" wrapText="1"/>
    </xf>
    <xf numFmtId="0" fontId="68" fillId="4" borderId="24" xfId="709" applyFont="1" applyFill="1" applyBorder="1" applyAlignment="1">
      <alignment horizontal="center" vertical="center" wrapText="1"/>
    </xf>
    <xf numFmtId="0" fontId="68" fillId="4" borderId="22" xfId="709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64" fillId="4" borderId="21" xfId="0" applyFont="1" applyFill="1" applyBorder="1" applyAlignment="1">
      <alignment horizontal="center" wrapText="1"/>
    </xf>
    <xf numFmtId="0" fontId="64" fillId="4" borderId="24" xfId="0" applyFont="1" applyFill="1" applyBorder="1" applyAlignment="1">
      <alignment horizontal="center" wrapText="1"/>
    </xf>
    <xf numFmtId="0" fontId="64" fillId="4" borderId="2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40" fillId="4" borderId="51" xfId="709" applyFont="1" applyFill="1" applyBorder="1" applyAlignment="1">
      <alignment horizontal="center"/>
    </xf>
    <xf numFmtId="0" fontId="40" fillId="4" borderId="52" xfId="709" applyFont="1" applyFill="1" applyBorder="1" applyAlignment="1">
      <alignment horizontal="center"/>
    </xf>
    <xf numFmtId="0" fontId="40" fillId="4" borderId="53" xfId="709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 wrapText="1"/>
    </xf>
    <xf numFmtId="0" fontId="40" fillId="4" borderId="34" xfId="0" applyFont="1" applyFill="1" applyBorder="1" applyAlignment="1">
      <alignment horizontal="left" vertical="center" wrapText="1" shrinkToFit="1"/>
    </xf>
    <xf numFmtId="0" fontId="40" fillId="4" borderId="2" xfId="0" applyFont="1" applyFill="1" applyBorder="1" applyAlignment="1">
      <alignment horizontal="left" vertical="center" wrapText="1" shrinkToFit="1"/>
    </xf>
    <xf numFmtId="0" fontId="40" fillId="4" borderId="44" xfId="709" applyFont="1" applyFill="1" applyBorder="1" applyAlignment="1">
      <alignment horizontal="left"/>
    </xf>
    <xf numFmtId="0" fontId="40" fillId="4" borderId="47" xfId="709" applyFont="1" applyFill="1" applyBorder="1" applyAlignment="1">
      <alignment horizontal="left"/>
    </xf>
    <xf numFmtId="0" fontId="40" fillId="4" borderId="44" xfId="0" applyFont="1" applyFill="1" applyBorder="1" applyAlignment="1">
      <alignment horizontal="left" vertical="center" wrapText="1" shrinkToFit="1"/>
    </xf>
    <xf numFmtId="0" fontId="40" fillId="4" borderId="47" xfId="0" applyFont="1" applyFill="1" applyBorder="1" applyAlignment="1">
      <alignment horizontal="left" vertical="center" wrapText="1" shrinkToFit="1"/>
    </xf>
    <xf numFmtId="0" fontId="40" fillId="4" borderId="56" xfId="709" applyFont="1" applyFill="1" applyBorder="1" applyAlignment="1">
      <alignment horizontal="left"/>
    </xf>
    <xf numFmtId="0" fontId="40" fillId="4" borderId="48" xfId="709" applyFont="1" applyFill="1" applyBorder="1" applyAlignment="1">
      <alignment horizontal="left"/>
    </xf>
    <xf numFmtId="0" fontId="40" fillId="4" borderId="21" xfId="0" applyFont="1" applyFill="1" applyBorder="1" applyAlignment="1">
      <alignment horizontal="center" vertical="center" wrapText="1" shrinkToFit="1"/>
    </xf>
    <xf numFmtId="0" fontId="40" fillId="4" borderId="24" xfId="0" applyFont="1" applyFill="1" applyBorder="1" applyAlignment="1">
      <alignment horizontal="center" vertical="center" wrapText="1" shrinkToFit="1"/>
    </xf>
    <xf numFmtId="0" fontId="42" fillId="4" borderId="23" xfId="709" applyFont="1" applyFill="1" applyBorder="1" applyAlignment="1">
      <alignment horizontal="center" vertical="top"/>
    </xf>
    <xf numFmtId="0" fontId="42" fillId="4" borderId="16" xfId="709" applyFont="1" applyFill="1" applyBorder="1" applyAlignment="1">
      <alignment horizontal="center" vertical="top"/>
    </xf>
    <xf numFmtId="0" fontId="42" fillId="4" borderId="17" xfId="709" applyFont="1" applyFill="1" applyBorder="1" applyAlignment="1">
      <alignment horizontal="center" vertical="top"/>
    </xf>
    <xf numFmtId="0" fontId="36" fillId="4" borderId="51" xfId="0" applyFont="1" applyFill="1" applyBorder="1" applyAlignment="1">
      <alignment horizontal="center" vertical="center"/>
    </xf>
    <xf numFmtId="0" fontId="36" fillId="4" borderId="52" xfId="0" applyFont="1" applyFill="1" applyBorder="1" applyAlignment="1">
      <alignment horizontal="center" vertical="center"/>
    </xf>
    <xf numFmtId="0" fontId="36" fillId="4" borderId="53" xfId="0" applyFont="1" applyFill="1" applyBorder="1" applyAlignment="1">
      <alignment horizontal="center" vertical="center"/>
    </xf>
    <xf numFmtId="0" fontId="42" fillId="4" borderId="42" xfId="709" applyFont="1" applyFill="1" applyBorder="1" applyAlignment="1">
      <alignment horizontal="center" vertical="center"/>
    </xf>
    <xf numFmtId="0" fontId="42" fillId="4" borderId="46" xfId="709" applyFont="1" applyFill="1" applyBorder="1" applyAlignment="1">
      <alignment horizontal="center" vertical="center"/>
    </xf>
    <xf numFmtId="0" fontId="36" fillId="3" borderId="0" xfId="709" applyFont="1" applyFill="1" applyBorder="1" applyAlignment="1">
      <alignment horizontal="center"/>
    </xf>
    <xf numFmtId="0" fontId="41" fillId="4" borderId="19" xfId="0" applyFont="1" applyFill="1" applyBorder="1" applyAlignment="1">
      <alignment horizontal="center" wrapText="1"/>
    </xf>
    <xf numFmtId="0" fontId="41" fillId="4" borderId="0" xfId="0" applyFont="1" applyFill="1" applyBorder="1" applyAlignment="1">
      <alignment horizontal="center" wrapText="1"/>
    </xf>
    <xf numFmtId="0" fontId="41" fillId="4" borderId="20" xfId="0" applyFont="1" applyFill="1" applyBorder="1" applyAlignment="1">
      <alignment horizontal="center" wrapText="1"/>
    </xf>
    <xf numFmtId="0" fontId="41" fillId="4" borderId="16" xfId="0" applyFont="1" applyFill="1" applyBorder="1" applyAlignment="1">
      <alignment horizontal="center"/>
    </xf>
    <xf numFmtId="0" fontId="41" fillId="4" borderId="23" xfId="0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/>
    </xf>
    <xf numFmtId="0" fontId="41" fillId="4" borderId="19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/>
    </xf>
    <xf numFmtId="0" fontId="41" fillId="4" borderId="20" xfId="0" applyFont="1" applyFill="1" applyBorder="1" applyAlignment="1">
      <alignment horizontal="center"/>
    </xf>
    <xf numFmtId="0" fontId="14" fillId="3" borderId="56" xfId="0" applyFont="1" applyFill="1" applyBorder="1" applyAlignment="1">
      <alignment horizontal="left"/>
    </xf>
    <xf numFmtId="0" fontId="14" fillId="3" borderId="48" xfId="0" applyFont="1" applyFill="1" applyBorder="1" applyAlignment="1">
      <alignment horizontal="left"/>
    </xf>
    <xf numFmtId="0" fontId="14" fillId="3" borderId="44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29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center" wrapText="1"/>
    </xf>
    <xf numFmtId="0" fontId="13" fillId="4" borderId="14" xfId="0" applyFont="1" applyFill="1" applyBorder="1" applyAlignment="1">
      <alignment horizontal="center" wrapText="1"/>
    </xf>
    <xf numFmtId="0" fontId="13" fillId="4" borderId="15" xfId="0" applyFont="1" applyFill="1" applyBorder="1" applyAlignment="1">
      <alignment horizontal="center" wrapText="1"/>
    </xf>
    <xf numFmtId="0" fontId="54" fillId="3" borderId="23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center" wrapText="1"/>
    </xf>
    <xf numFmtId="0" fontId="17" fillId="4" borderId="24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54" fillId="3" borderId="16" xfId="0" applyFont="1" applyFill="1" applyBorder="1" applyAlignment="1">
      <alignment horizontal="left" vertical="center" wrapText="1"/>
    </xf>
    <xf numFmtId="0" fontId="54" fillId="3" borderId="23" xfId="0" applyFont="1" applyFill="1" applyBorder="1" applyAlignment="1">
      <alignment horizontal="left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52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56" xfId="0" applyFont="1" applyFill="1" applyBorder="1" applyAlignment="1">
      <alignment horizontal="left" vertical="center"/>
    </xf>
    <xf numFmtId="0" fontId="14" fillId="3" borderId="48" xfId="0" applyFont="1" applyFill="1" applyBorder="1" applyAlignment="1">
      <alignment horizontal="left" vertical="center"/>
    </xf>
    <xf numFmtId="0" fontId="14" fillId="3" borderId="36" xfId="0" applyFont="1" applyFill="1" applyBorder="1" applyAlignment="1">
      <alignment horizontal="left" vertic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  <xf numFmtId="14" fontId="18" fillId="3" borderId="44" xfId="0" applyNumberFormat="1" applyFont="1" applyFill="1" applyBorder="1" applyAlignment="1">
      <alignment horizontal="center"/>
    </xf>
    <xf numFmtId="14" fontId="18" fillId="3" borderId="47" xfId="0" applyNumberFormat="1" applyFont="1" applyFill="1" applyBorder="1" applyAlignment="1">
      <alignment horizontal="center"/>
    </xf>
    <xf numFmtId="14" fontId="18" fillId="3" borderId="27" xfId="0" applyNumberFormat="1" applyFont="1" applyFill="1" applyBorder="1" applyAlignment="1">
      <alignment horizontal="center"/>
    </xf>
    <xf numFmtId="14" fontId="18" fillId="3" borderId="56" xfId="0" applyNumberFormat="1" applyFont="1" applyFill="1" applyBorder="1" applyAlignment="1">
      <alignment horizontal="center"/>
    </xf>
    <xf numFmtId="14" fontId="18" fillId="3" borderId="48" xfId="0" applyNumberFormat="1" applyFont="1" applyFill="1" applyBorder="1" applyAlignment="1">
      <alignment horizontal="center"/>
    </xf>
    <xf numFmtId="14" fontId="18" fillId="3" borderId="36" xfId="0" applyNumberFormat="1" applyFont="1" applyFill="1" applyBorder="1" applyAlignment="1">
      <alignment horizontal="center"/>
    </xf>
    <xf numFmtId="165" fontId="18" fillId="3" borderId="44" xfId="0" applyNumberFormat="1" applyFont="1" applyFill="1" applyBorder="1" applyAlignment="1">
      <alignment horizontal="center"/>
    </xf>
    <xf numFmtId="165" fontId="18" fillId="3" borderId="47" xfId="0" applyNumberFormat="1" applyFont="1" applyFill="1" applyBorder="1" applyAlignment="1">
      <alignment horizontal="center"/>
    </xf>
    <xf numFmtId="165" fontId="18" fillId="3" borderId="27" xfId="0" applyNumberFormat="1" applyFont="1" applyFill="1" applyBorder="1" applyAlignment="1">
      <alignment horizontal="center"/>
    </xf>
    <xf numFmtId="165" fontId="18" fillId="3" borderId="56" xfId="0" applyNumberFormat="1" applyFont="1" applyFill="1" applyBorder="1" applyAlignment="1">
      <alignment horizontal="center"/>
    </xf>
    <xf numFmtId="165" fontId="18" fillId="3" borderId="48" xfId="0" applyNumberFormat="1" applyFont="1" applyFill="1" applyBorder="1" applyAlignment="1">
      <alignment horizontal="center"/>
    </xf>
    <xf numFmtId="165" fontId="18" fillId="3" borderId="36" xfId="0" applyNumberFormat="1" applyFont="1" applyFill="1" applyBorder="1" applyAlignment="1">
      <alignment horizontal="center"/>
    </xf>
    <xf numFmtId="0" fontId="23" fillId="4" borderId="51" xfId="0" applyFont="1" applyFill="1" applyBorder="1" applyAlignment="1">
      <alignment horizontal="center" vertical="center"/>
    </xf>
    <xf numFmtId="0" fontId="23" fillId="4" borderId="52" xfId="0" applyFont="1" applyFill="1" applyBorder="1" applyAlignment="1">
      <alignment horizontal="center" vertical="center"/>
    </xf>
    <xf numFmtId="0" fontId="23" fillId="4" borderId="53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4" fillId="3" borderId="23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43" fontId="14" fillId="0" borderId="13" xfId="80" applyFont="1" applyBorder="1" applyAlignment="1">
      <alignment horizontal="center" vertical="center"/>
    </xf>
    <xf numFmtId="43" fontId="14" fillId="0" borderId="15" xfId="80" applyFont="1" applyBorder="1" applyAlignment="1">
      <alignment horizontal="center" vertical="center"/>
    </xf>
    <xf numFmtId="43" fontId="14" fillId="0" borderId="56" xfId="80" applyFont="1" applyBorder="1" applyAlignment="1">
      <alignment horizontal="center" vertical="center"/>
    </xf>
    <xf numFmtId="43" fontId="14" fillId="0" borderId="36" xfId="80" applyFont="1" applyBorder="1" applyAlignment="1">
      <alignment horizontal="center" vertical="center"/>
    </xf>
    <xf numFmtId="43" fontId="14" fillId="0" borderId="51" xfId="80" applyFont="1" applyBorder="1" applyAlignment="1">
      <alignment horizontal="center" vertical="center"/>
    </xf>
    <xf numFmtId="43" fontId="14" fillId="0" borderId="53" xfId="8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43" fontId="14" fillId="0" borderId="41" xfId="80" applyFont="1" applyBorder="1" applyAlignment="1">
      <alignment horizontal="center" vertical="center"/>
    </xf>
    <xf numFmtId="43" fontId="14" fillId="3" borderId="2" xfId="80" applyFont="1" applyFill="1" applyBorder="1" applyAlignment="1">
      <alignment horizontal="center" vertical="center"/>
    </xf>
    <xf numFmtId="43" fontId="14" fillId="0" borderId="44" xfId="80" applyFont="1" applyBorder="1" applyAlignment="1">
      <alignment horizontal="center" vertical="center"/>
    </xf>
    <xf numFmtId="43" fontId="14" fillId="0" borderId="27" xfId="80" applyFont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 wrapText="1"/>
    </xf>
    <xf numFmtId="0" fontId="14" fillId="4" borderId="43" xfId="0" applyFont="1" applyFill="1" applyBorder="1" applyAlignment="1">
      <alignment horizontal="center" vertical="center" wrapText="1"/>
    </xf>
    <xf numFmtId="43" fontId="14" fillId="0" borderId="47" xfId="80" applyFont="1" applyBorder="1" applyAlignment="1">
      <alignment horizontal="center" vertical="center"/>
    </xf>
    <xf numFmtId="0" fontId="33" fillId="6" borderId="51" xfId="0" applyFont="1" applyFill="1" applyBorder="1" applyAlignment="1">
      <alignment horizontal="left" vertical="center" wrapText="1"/>
    </xf>
    <xf numFmtId="0" fontId="33" fillId="6" borderId="52" xfId="0" applyFont="1" applyFill="1" applyBorder="1" applyAlignment="1">
      <alignment horizontal="left" vertical="center" wrapText="1"/>
    </xf>
    <xf numFmtId="0" fontId="33" fillId="6" borderId="69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14" fontId="14" fillId="4" borderId="21" xfId="0" applyNumberFormat="1" applyFont="1" applyFill="1" applyBorder="1" applyAlignment="1">
      <alignment horizontal="center" vertical="center" wrapText="1"/>
    </xf>
    <xf numFmtId="14" fontId="14" fillId="4" borderId="24" xfId="0" applyNumberFormat="1" applyFont="1" applyFill="1" applyBorder="1" applyAlignment="1">
      <alignment horizontal="center" vertical="center" wrapText="1"/>
    </xf>
    <xf numFmtId="14" fontId="14" fillId="4" borderId="22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70" xfId="0" applyFont="1" applyFill="1" applyBorder="1" applyAlignment="1">
      <alignment horizontal="left" vertical="center"/>
    </xf>
    <xf numFmtId="0" fontId="13" fillId="4" borderId="51" xfId="0" applyFont="1" applyFill="1" applyBorder="1" applyAlignment="1">
      <alignment horizontal="left" vertical="center"/>
    </xf>
    <xf numFmtId="0" fontId="13" fillId="4" borderId="52" xfId="0" applyFont="1" applyFill="1" applyBorder="1" applyAlignment="1">
      <alignment horizontal="left" vertical="center"/>
    </xf>
    <xf numFmtId="0" fontId="13" fillId="4" borderId="61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70" xfId="0" applyFont="1" applyFill="1" applyBorder="1" applyAlignment="1">
      <alignment horizontal="left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32" xfId="0" applyFont="1" applyFill="1" applyBorder="1" applyAlignment="1">
      <alignment horizontal="left" vertical="center" wrapText="1"/>
    </xf>
    <xf numFmtId="2" fontId="12" fillId="3" borderId="60" xfId="0" applyNumberFormat="1" applyFont="1" applyFill="1" applyBorder="1" applyAlignment="1">
      <alignment horizontal="center" vertical="center" wrapText="1"/>
    </xf>
    <xf numFmtId="2" fontId="12" fillId="3" borderId="55" xfId="0" applyNumberFormat="1" applyFont="1" applyFill="1" applyBorder="1" applyAlignment="1">
      <alignment horizontal="center" vertical="center" wrapText="1"/>
    </xf>
    <xf numFmtId="4" fontId="20" fillId="0" borderId="0" xfId="0" applyNumberFormat="1" applyFont="1" applyBorder="1" applyAlignment="1">
      <alignment horizontal="center"/>
    </xf>
    <xf numFmtId="0" fontId="14" fillId="4" borderId="42" xfId="0" applyFont="1" applyFill="1" applyBorder="1" applyAlignment="1">
      <alignment horizontal="center" vertical="center"/>
    </xf>
    <xf numFmtId="4" fontId="18" fillId="3" borderId="14" xfId="0" applyNumberFormat="1" applyFont="1" applyFill="1" applyBorder="1" applyAlignment="1">
      <alignment horizontal="center"/>
    </xf>
    <xf numFmtId="4" fontId="18" fillId="3" borderId="15" xfId="0" applyNumberFormat="1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4" fontId="18" fillId="3" borderId="2" xfId="0" applyNumberFormat="1" applyFont="1" applyFill="1" applyBorder="1" applyAlignment="1">
      <alignment horizontal="center"/>
    </xf>
    <xf numFmtId="4" fontId="18" fillId="3" borderId="45" xfId="0" applyNumberFormat="1" applyFont="1" applyFill="1" applyBorder="1" applyAlignment="1">
      <alignment horizontal="center"/>
    </xf>
    <xf numFmtId="3" fontId="18" fillId="0" borderId="13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3" fontId="18" fillId="0" borderId="44" xfId="0" applyNumberFormat="1" applyFont="1" applyBorder="1" applyAlignment="1">
      <alignment horizontal="center"/>
    </xf>
    <xf numFmtId="3" fontId="18" fillId="0" borderId="47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0" fontId="14" fillId="3" borderId="44" xfId="0" applyFont="1" applyFill="1" applyBorder="1" applyAlignment="1">
      <alignment horizontal="left"/>
    </xf>
    <xf numFmtId="0" fontId="14" fillId="3" borderId="47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4" fontId="18" fillId="3" borderId="24" xfId="0" applyNumberFormat="1" applyFont="1" applyFill="1" applyBorder="1" applyAlignment="1">
      <alignment horizontal="center"/>
    </xf>
    <xf numFmtId="4" fontId="18" fillId="3" borderId="22" xfId="0" applyNumberFormat="1" applyFont="1" applyFill="1" applyBorder="1" applyAlignment="1">
      <alignment horizontal="center"/>
    </xf>
    <xf numFmtId="3" fontId="18" fillId="0" borderId="56" xfId="0" applyNumberFormat="1" applyFont="1" applyBorder="1" applyAlignment="1">
      <alignment horizontal="center"/>
    </xf>
    <xf numFmtId="3" fontId="18" fillId="0" borderId="48" xfId="0" applyNumberFormat="1" applyFont="1" applyBorder="1" applyAlignment="1">
      <alignment horizontal="center"/>
    </xf>
    <xf numFmtId="3" fontId="18" fillId="0" borderId="36" xfId="0" applyNumberFormat="1" applyFont="1" applyBorder="1" applyAlignment="1">
      <alignment horizontal="center"/>
    </xf>
    <xf numFmtId="0" fontId="19" fillId="4" borderId="51" xfId="0" applyFont="1" applyFill="1" applyBorder="1" applyAlignment="1">
      <alignment horizontal="center"/>
    </xf>
    <xf numFmtId="0" fontId="19" fillId="4" borderId="52" xfId="0" applyFont="1" applyFill="1" applyBorder="1" applyAlignment="1">
      <alignment horizontal="center"/>
    </xf>
    <xf numFmtId="0" fontId="19" fillId="4" borderId="53" xfId="0" applyFont="1" applyFill="1" applyBorder="1" applyAlignment="1">
      <alignment horizontal="center"/>
    </xf>
    <xf numFmtId="0" fontId="0" fillId="0" borderId="1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6" fillId="4" borderId="51" xfId="0" applyFont="1" applyFill="1" applyBorder="1" applyAlignment="1">
      <alignment horizontal="center"/>
    </xf>
    <xf numFmtId="0" fontId="26" fillId="4" borderId="52" xfId="0" applyFont="1" applyFill="1" applyBorder="1" applyAlignment="1">
      <alignment horizontal="center"/>
    </xf>
    <xf numFmtId="0" fontId="26" fillId="4" borderId="53" xfId="0" applyFont="1" applyFill="1" applyBorder="1" applyAlignment="1">
      <alignment horizontal="center"/>
    </xf>
    <xf numFmtId="0" fontId="0" fillId="0" borderId="52" xfId="0" applyBorder="1" applyAlignment="1">
      <alignment horizontal="center" vertical="top" wrapText="1"/>
    </xf>
    <xf numFmtId="0" fontId="0" fillId="0" borderId="52" xfId="0" applyBorder="1" applyAlignment="1">
      <alignment horizontal="center"/>
    </xf>
    <xf numFmtId="0" fontId="14" fillId="4" borderId="46" xfId="0" applyFont="1" applyFill="1" applyBorder="1" applyAlignment="1">
      <alignment horizontal="center" vertical="center"/>
    </xf>
    <xf numFmtId="0" fontId="14" fillId="4" borderId="49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14" fillId="4" borderId="62" xfId="0" applyFont="1" applyFill="1" applyBorder="1" applyAlignment="1">
      <alignment horizontal="center" vertical="center"/>
    </xf>
    <xf numFmtId="0" fontId="14" fillId="4" borderId="68" xfId="0" applyFont="1" applyFill="1" applyBorder="1" applyAlignment="1">
      <alignment horizontal="center" vertical="center"/>
    </xf>
    <xf numFmtId="0" fontId="35" fillId="4" borderId="51" xfId="0" applyFont="1" applyFill="1" applyBorder="1" applyAlignment="1">
      <alignment horizontal="center" vertical="center"/>
    </xf>
    <xf numFmtId="0" fontId="35" fillId="4" borderId="52" xfId="0" applyFont="1" applyFill="1" applyBorder="1" applyAlignment="1">
      <alignment horizontal="center" vertical="center"/>
    </xf>
    <xf numFmtId="0" fontId="35" fillId="4" borderId="53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7" xfId="0" applyBorder="1" applyAlignment="1">
      <alignment horizontal="center"/>
    </xf>
    <xf numFmtId="0" fontId="24" fillId="3" borderId="0" xfId="0" applyFont="1" applyFill="1" applyAlignment="1">
      <alignment horizontal="left"/>
    </xf>
    <xf numFmtId="0" fontId="20" fillId="3" borderId="19" xfId="0" applyFont="1" applyFill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</cellXfs>
  <cellStyles count="1422">
    <cellStyle name="1000-sep (2 dec) 2" xfId="773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4" builtinId="9" hidden="1"/>
    <cellStyle name="Besøgt link" xfId="346" builtinId="9" hidden="1"/>
    <cellStyle name="Besøgt link" xfId="348" builtinId="9" hidden="1"/>
    <cellStyle name="Besøgt link" xfId="350" builtinId="9" hidden="1"/>
    <cellStyle name="Besøgt link" xfId="352" builtinId="9" hidden="1"/>
    <cellStyle name="Besøgt link" xfId="354" builtinId="9" hidden="1"/>
    <cellStyle name="Besøgt link" xfId="356" builtinId="9" hidden="1"/>
    <cellStyle name="Besøgt link" xfId="358" builtinId="9" hidden="1"/>
    <cellStyle name="Besøgt link" xfId="360" builtinId="9" hidden="1"/>
    <cellStyle name="Besøgt link" xfId="362" builtinId="9" hidden="1"/>
    <cellStyle name="Besøgt link" xfId="364" builtinId="9" hidden="1"/>
    <cellStyle name="Besøgt link" xfId="366" builtinId="9" hidden="1"/>
    <cellStyle name="Besøgt link" xfId="368" builtinId="9" hidden="1"/>
    <cellStyle name="Besøgt link" xfId="370" builtinId="9" hidden="1"/>
    <cellStyle name="Besøgt link" xfId="372" builtinId="9" hidden="1"/>
    <cellStyle name="Besøgt link" xfId="374" builtinId="9" hidden="1"/>
    <cellStyle name="Besøgt link" xfId="376" builtinId="9" hidden="1"/>
    <cellStyle name="Besøgt link" xfId="378" builtinId="9" hidden="1"/>
    <cellStyle name="Besøgt link" xfId="380" builtinId="9" hidden="1"/>
    <cellStyle name="Besøgt link" xfId="382" builtinId="9" hidden="1"/>
    <cellStyle name="Besøgt link" xfId="384" builtinId="9" hidden="1"/>
    <cellStyle name="Besøgt link" xfId="386" builtinId="9" hidden="1"/>
    <cellStyle name="Besøgt link" xfId="388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Besøgt link" xfId="536" builtinId="9" hidden="1"/>
    <cellStyle name="Besøgt link" xfId="538" builtinId="9" hidden="1"/>
    <cellStyle name="Besøgt link" xfId="540" builtinId="9" hidden="1"/>
    <cellStyle name="Besøgt link" xfId="542" builtinId="9" hidden="1"/>
    <cellStyle name="Besøgt link" xfId="544" builtinId="9" hidden="1"/>
    <cellStyle name="Besøgt link" xfId="546" builtinId="9" hidden="1"/>
    <cellStyle name="Besøgt link" xfId="548" builtinId="9" hidden="1"/>
    <cellStyle name="Besøgt link" xfId="550" builtinId="9" hidden="1"/>
    <cellStyle name="Besøgt link" xfId="552" builtinId="9" hidden="1"/>
    <cellStyle name="Besøgt link" xfId="554" builtinId="9" hidden="1"/>
    <cellStyle name="Besøgt link" xfId="556" builtinId="9" hidden="1"/>
    <cellStyle name="Besøgt link" xfId="558" builtinId="9" hidden="1"/>
    <cellStyle name="Besøgt link" xfId="560" builtinId="9" hidden="1"/>
    <cellStyle name="Besøgt link" xfId="562" builtinId="9" hidden="1"/>
    <cellStyle name="Besøgt link" xfId="564" builtinId="9" hidden="1"/>
    <cellStyle name="Besøgt link" xfId="566" builtinId="9" hidden="1"/>
    <cellStyle name="Besøgt link" xfId="568" builtinId="9" hidden="1"/>
    <cellStyle name="Besøgt link" xfId="570" builtinId="9" hidden="1"/>
    <cellStyle name="Besøgt link" xfId="572" builtinId="9" hidden="1"/>
    <cellStyle name="Besøgt link" xfId="574" builtinId="9" hidden="1"/>
    <cellStyle name="Besøgt link" xfId="576" builtinId="9" hidden="1"/>
    <cellStyle name="Besøgt link" xfId="578" builtinId="9" hidden="1"/>
    <cellStyle name="Besøgt link" xfId="580" builtinId="9" hidden="1"/>
    <cellStyle name="Besøgt link" xfId="582" builtinId="9" hidden="1"/>
    <cellStyle name="Besøgt link" xfId="584" builtinId="9" hidden="1"/>
    <cellStyle name="Besøgt link" xfId="586" builtinId="9" hidden="1"/>
    <cellStyle name="Besøgt link" xfId="588" builtinId="9" hidden="1"/>
    <cellStyle name="Besøgt link" xfId="590" builtinId="9" hidden="1"/>
    <cellStyle name="Besøgt link" xfId="592" builtinId="9" hidden="1"/>
    <cellStyle name="Besøgt link" xfId="594" builtinId="9" hidden="1"/>
    <cellStyle name="Besøgt link" xfId="596" builtinId="9" hidden="1"/>
    <cellStyle name="Besøgt link" xfId="598" builtinId="9" hidden="1"/>
    <cellStyle name="Besøgt link" xfId="600" builtinId="9" hidden="1"/>
    <cellStyle name="Besøgt link" xfId="602" builtinId="9" hidden="1"/>
    <cellStyle name="Besøgt link" xfId="604" builtinId="9" hidden="1"/>
    <cellStyle name="Besøgt link" xfId="606" builtinId="9" hidden="1"/>
    <cellStyle name="Besøgt link" xfId="608" builtinId="9" hidden="1"/>
    <cellStyle name="Besøgt link" xfId="610" builtinId="9" hidden="1"/>
    <cellStyle name="Besøgt link" xfId="612" builtinId="9" hidden="1"/>
    <cellStyle name="Besøgt link" xfId="614" builtinId="9" hidden="1"/>
    <cellStyle name="Besøgt link" xfId="616" builtinId="9" hidden="1"/>
    <cellStyle name="Besøgt link" xfId="618" builtinId="9" hidden="1"/>
    <cellStyle name="Besøgt link" xfId="620" builtinId="9" hidden="1"/>
    <cellStyle name="Besøgt link" xfId="622" builtinId="9" hidden="1"/>
    <cellStyle name="Besøgt link" xfId="624" builtinId="9" hidden="1"/>
    <cellStyle name="Besøgt link" xfId="626" builtinId="9" hidden="1"/>
    <cellStyle name="Besøgt link" xfId="628" builtinId="9" hidden="1"/>
    <cellStyle name="Besøgt link" xfId="630" builtinId="9" hidden="1"/>
    <cellStyle name="Besøgt link" xfId="632" builtinId="9" hidden="1"/>
    <cellStyle name="Besøgt link" xfId="634" builtinId="9" hidden="1"/>
    <cellStyle name="Besøgt link" xfId="636" builtinId="9" hidden="1"/>
    <cellStyle name="Besøgt link" xfId="638" builtinId="9" hidden="1"/>
    <cellStyle name="Besøgt link" xfId="640" builtinId="9" hidden="1"/>
    <cellStyle name="Besøgt link" xfId="642" builtinId="9" hidden="1"/>
    <cellStyle name="Besøgt link" xfId="644" builtinId="9" hidden="1"/>
    <cellStyle name="Besøgt link" xfId="646" builtinId="9" hidden="1"/>
    <cellStyle name="Besøgt link" xfId="648" builtinId="9" hidden="1"/>
    <cellStyle name="Besøgt link" xfId="650" builtinId="9" hidden="1"/>
    <cellStyle name="Besøgt link" xfId="652" builtinId="9" hidden="1"/>
    <cellStyle name="Besøgt link" xfId="654" builtinId="9" hidden="1"/>
    <cellStyle name="Besøgt link" xfId="656" builtinId="9" hidden="1"/>
    <cellStyle name="Besøgt link" xfId="658" builtinId="9" hidden="1"/>
    <cellStyle name="Besøgt link" xfId="660" builtinId="9" hidden="1"/>
    <cellStyle name="Besøgt link" xfId="662" builtinId="9" hidden="1"/>
    <cellStyle name="Besøgt link" xfId="664" builtinId="9" hidden="1"/>
    <cellStyle name="Besøgt link" xfId="666" builtinId="9" hidden="1"/>
    <cellStyle name="Besøgt link" xfId="668" builtinId="9" hidden="1"/>
    <cellStyle name="Besøgt link" xfId="670" builtinId="9" hidden="1"/>
    <cellStyle name="Besøgt link" xfId="672" builtinId="9" hidden="1"/>
    <cellStyle name="Besøgt link" xfId="674" builtinId="9" hidden="1"/>
    <cellStyle name="Besøgt link" xfId="676" builtinId="9" hidden="1"/>
    <cellStyle name="Besøgt link" xfId="678" builtinId="9" hidden="1"/>
    <cellStyle name="Besøgt link" xfId="680" builtinId="9" hidden="1"/>
    <cellStyle name="Besøgt link" xfId="682" builtinId="9" hidden="1"/>
    <cellStyle name="Besøgt link" xfId="684" builtinId="9" hidden="1"/>
    <cellStyle name="Besøgt link" xfId="686" builtinId="9" hidden="1"/>
    <cellStyle name="Besøgt link" xfId="688" builtinId="9" hidden="1"/>
    <cellStyle name="Besøgt link" xfId="690" builtinId="9" hidden="1"/>
    <cellStyle name="Besøgt link" xfId="692" builtinId="9" hidden="1"/>
    <cellStyle name="Besøgt link" xfId="694" builtinId="9" hidden="1"/>
    <cellStyle name="Besøgt link" xfId="696" builtinId="9" hidden="1"/>
    <cellStyle name="Besøgt link" xfId="698" builtinId="9" hidden="1"/>
    <cellStyle name="Besøgt link" xfId="700" builtinId="9" hidden="1"/>
    <cellStyle name="Besøgt link" xfId="702" builtinId="9" hidden="1"/>
    <cellStyle name="Besøgt link" xfId="704" builtinId="9" hidden="1"/>
    <cellStyle name="Besøgt link" xfId="706" builtinId="9" hidden="1"/>
    <cellStyle name="Besøgt link" xfId="708" builtinId="9" hidden="1"/>
    <cellStyle name="Besøgt link" xfId="711" builtinId="9" hidden="1"/>
    <cellStyle name="Besøgt link" xfId="713" builtinId="9" hidden="1"/>
    <cellStyle name="Besøgt link" xfId="715" builtinId="9" hidden="1"/>
    <cellStyle name="Besøgt link" xfId="717" builtinId="9" hidden="1"/>
    <cellStyle name="Besøgt link" xfId="719" builtinId="9" hidden="1"/>
    <cellStyle name="Besøgt link" xfId="721" builtinId="9" hidden="1"/>
    <cellStyle name="Besøgt link" xfId="723" builtinId="9" hidden="1"/>
    <cellStyle name="Besøgt link" xfId="725" builtinId="9" hidden="1"/>
    <cellStyle name="Besøgt link" xfId="727" builtinId="9" hidden="1"/>
    <cellStyle name="Besøgt link" xfId="729" builtinId="9" hidden="1"/>
    <cellStyle name="Besøgt link" xfId="731" builtinId="9" hidden="1"/>
    <cellStyle name="Besøgt link" xfId="733" builtinId="9" hidden="1"/>
    <cellStyle name="Besøgt link" xfId="735" builtinId="9" hidden="1"/>
    <cellStyle name="Besøgt link" xfId="737" builtinId="9" hidden="1"/>
    <cellStyle name="Besøgt link" xfId="739" builtinId="9" hidden="1"/>
    <cellStyle name="Besøgt link" xfId="741" builtinId="9" hidden="1"/>
    <cellStyle name="Besøgt link" xfId="743" builtinId="9" hidden="1"/>
    <cellStyle name="Besøgt link" xfId="745" builtinId="9" hidden="1"/>
    <cellStyle name="Besøgt link" xfId="747" builtinId="9" hidden="1"/>
    <cellStyle name="Besøgt link" xfId="749" builtinId="9" hidden="1"/>
    <cellStyle name="Besøgt link" xfId="751" builtinId="9" hidden="1"/>
    <cellStyle name="Besøgt link" xfId="753" builtinId="9" hidden="1"/>
    <cellStyle name="Besøgt link" xfId="755" builtinId="9" hidden="1"/>
    <cellStyle name="Besøgt link" xfId="757" builtinId="9" hidden="1"/>
    <cellStyle name="Besøgt link" xfId="759" builtinId="9" hidden="1"/>
    <cellStyle name="Besøgt link" xfId="761" builtinId="9" hidden="1"/>
    <cellStyle name="Besøgt link" xfId="763" builtinId="9" hidden="1"/>
    <cellStyle name="Besøgt link" xfId="765" builtinId="9" hidden="1"/>
    <cellStyle name="Besøgt link" xfId="767" builtinId="9" hidden="1"/>
    <cellStyle name="Besøgt link" xfId="769" builtinId="9" hidden="1"/>
    <cellStyle name="Besøgt link" xfId="771" builtinId="9" hidden="1"/>
    <cellStyle name="Besøgt link" xfId="777" builtinId="9" hidden="1"/>
    <cellStyle name="Besøgt link" xfId="779" builtinId="9" hidden="1"/>
    <cellStyle name="Besøgt link" xfId="781" builtinId="9" hidden="1"/>
    <cellStyle name="Besøgt link" xfId="783" builtinId="9" hidden="1"/>
    <cellStyle name="Besøgt link" xfId="785" builtinId="9" hidden="1"/>
    <cellStyle name="Besøgt link" xfId="787" builtinId="9" hidden="1"/>
    <cellStyle name="Besøgt link" xfId="789" builtinId="9" hidden="1"/>
    <cellStyle name="Besøgt link" xfId="791" builtinId="9" hidden="1"/>
    <cellStyle name="Besøgt link" xfId="793" builtinId="9" hidden="1"/>
    <cellStyle name="Besøgt link" xfId="795" builtinId="9" hidden="1"/>
    <cellStyle name="Besøgt link" xfId="797" builtinId="9" hidden="1"/>
    <cellStyle name="Besøgt link" xfId="799" builtinId="9" hidden="1"/>
    <cellStyle name="Besøgt link" xfId="801" builtinId="9" hidden="1"/>
    <cellStyle name="Besøgt link" xfId="803" builtinId="9" hidden="1"/>
    <cellStyle name="Besøgt link" xfId="805" builtinId="9" hidden="1"/>
    <cellStyle name="Besøgt link" xfId="807" builtinId="9" hidden="1"/>
    <cellStyle name="Besøgt link" xfId="809" builtinId="9" hidden="1"/>
    <cellStyle name="Besøgt link" xfId="811" builtinId="9" hidden="1"/>
    <cellStyle name="Besøgt link" xfId="813" builtinId="9" hidden="1"/>
    <cellStyle name="Besøgt link" xfId="815" builtinId="9" hidden="1"/>
    <cellStyle name="Besøgt link" xfId="817" builtinId="9" hidden="1"/>
    <cellStyle name="Besøgt link" xfId="819" builtinId="9" hidden="1"/>
    <cellStyle name="Besøgt link" xfId="821" builtinId="9" hidden="1"/>
    <cellStyle name="Besøgt link" xfId="823" builtinId="9" hidden="1"/>
    <cellStyle name="Besøgt link" xfId="825" builtinId="9" hidden="1"/>
    <cellStyle name="Besøgt link" xfId="827" builtinId="9" hidden="1"/>
    <cellStyle name="Besøgt link" xfId="829" builtinId="9" hidden="1"/>
    <cellStyle name="Besøgt link" xfId="831" builtinId="9" hidden="1"/>
    <cellStyle name="Besøgt link" xfId="833" builtinId="9" hidden="1"/>
    <cellStyle name="Besøgt link" xfId="835" builtinId="9" hidden="1"/>
    <cellStyle name="Besøgt link" xfId="837" builtinId="9" hidden="1"/>
    <cellStyle name="Besøgt link" xfId="839" builtinId="9" hidden="1"/>
    <cellStyle name="Besøgt link" xfId="841" builtinId="9" hidden="1"/>
    <cellStyle name="Besøgt link" xfId="843" builtinId="9" hidden="1"/>
    <cellStyle name="Besøgt link" xfId="845" builtinId="9" hidden="1"/>
    <cellStyle name="Besøgt link" xfId="847" builtinId="9" hidden="1"/>
    <cellStyle name="Besøgt link" xfId="849" builtinId="9" hidden="1"/>
    <cellStyle name="Besøgt link" xfId="851" builtinId="9" hidden="1"/>
    <cellStyle name="Besøgt link" xfId="853" builtinId="9" hidden="1"/>
    <cellStyle name="Besøgt link" xfId="855" builtinId="9" hidden="1"/>
    <cellStyle name="Besøgt link" xfId="857" builtinId="9" hidden="1"/>
    <cellStyle name="Besøgt link" xfId="859" builtinId="9" hidden="1"/>
    <cellStyle name="Besøgt link" xfId="861" builtinId="9" hidden="1"/>
    <cellStyle name="Besøgt link" xfId="863" builtinId="9" hidden="1"/>
    <cellStyle name="Besøgt link" xfId="865" builtinId="9" hidden="1"/>
    <cellStyle name="Besøgt link" xfId="867" builtinId="9" hidden="1"/>
    <cellStyle name="Besøgt link" xfId="869" builtinId="9" hidden="1"/>
    <cellStyle name="Besøgt link" xfId="871" builtinId="9" hidden="1"/>
    <cellStyle name="Besøgt link" xfId="873" builtinId="9" hidden="1"/>
    <cellStyle name="Besøgt link" xfId="875" builtinId="9" hidden="1"/>
    <cellStyle name="Besøgt link" xfId="877" builtinId="9" hidden="1"/>
    <cellStyle name="Besøgt link" xfId="879" builtinId="9" hidden="1"/>
    <cellStyle name="Besøgt link" xfId="881" builtinId="9" hidden="1"/>
    <cellStyle name="Besøgt link" xfId="883" builtinId="9" hidden="1"/>
    <cellStyle name="Besøgt link" xfId="885" builtinId="9" hidden="1"/>
    <cellStyle name="Besøgt link" xfId="887" builtinId="9" hidden="1"/>
    <cellStyle name="Besøgt link" xfId="889" builtinId="9" hidden="1"/>
    <cellStyle name="Besøgt link" xfId="891" builtinId="9" hidden="1"/>
    <cellStyle name="Besøgt link" xfId="893" builtinId="9" hidden="1"/>
    <cellStyle name="Besøgt link" xfId="895" builtinId="9" hidden="1"/>
    <cellStyle name="Besøgt link" xfId="897" builtinId="9" hidden="1"/>
    <cellStyle name="Besøgt link" xfId="899" builtinId="9" hidden="1"/>
    <cellStyle name="Besøgt link" xfId="901" builtinId="9" hidden="1"/>
    <cellStyle name="Besøgt link" xfId="903" builtinId="9" hidden="1"/>
    <cellStyle name="Besøgt link" xfId="905" builtinId="9" hidden="1"/>
    <cellStyle name="Besøgt link" xfId="907" builtinId="9" hidden="1"/>
    <cellStyle name="Besøgt link" xfId="909" builtinId="9" hidden="1"/>
    <cellStyle name="Besøgt link" xfId="911" builtinId="9" hidden="1"/>
    <cellStyle name="Besøgt link" xfId="913" builtinId="9" hidden="1"/>
    <cellStyle name="Besøgt link" xfId="915" builtinId="9" hidden="1"/>
    <cellStyle name="Besøgt link" xfId="917" builtinId="9" hidden="1"/>
    <cellStyle name="Besøgt link" xfId="919" builtinId="9" hidden="1"/>
    <cellStyle name="Besøgt link" xfId="921" builtinId="9" hidden="1"/>
    <cellStyle name="Besøgt link" xfId="923" builtinId="9" hidden="1"/>
    <cellStyle name="Besøgt link" xfId="925" builtinId="9" hidden="1"/>
    <cellStyle name="Besøgt link" xfId="927" builtinId="9" hidden="1"/>
    <cellStyle name="Besøgt link" xfId="929" builtinId="9" hidden="1"/>
    <cellStyle name="Besøgt link" xfId="931" builtinId="9" hidden="1"/>
    <cellStyle name="Besøgt link" xfId="933" builtinId="9" hidden="1"/>
    <cellStyle name="Besøgt link" xfId="935" builtinId="9" hidden="1"/>
    <cellStyle name="Besøgt link" xfId="937" builtinId="9" hidden="1"/>
    <cellStyle name="Besøgt link" xfId="939" builtinId="9" hidden="1"/>
    <cellStyle name="Besøgt link" xfId="941" builtinId="9" hidden="1"/>
    <cellStyle name="Besøgt link" xfId="943" builtinId="9" hidden="1"/>
    <cellStyle name="Besøgt link" xfId="945" builtinId="9" hidden="1"/>
    <cellStyle name="Besøgt link" xfId="947" builtinId="9" hidden="1"/>
    <cellStyle name="Besøgt link" xfId="949" builtinId="9" hidden="1"/>
    <cellStyle name="Besøgt link" xfId="951" builtinId="9" hidden="1"/>
    <cellStyle name="Besøgt link" xfId="953" builtinId="9" hidden="1"/>
    <cellStyle name="Besøgt link" xfId="955" builtinId="9" hidden="1"/>
    <cellStyle name="Besøgt link" xfId="957" builtinId="9" hidden="1"/>
    <cellStyle name="Besøgt link" xfId="959" builtinId="9" hidden="1"/>
    <cellStyle name="Besøgt link" xfId="961" builtinId="9" hidden="1"/>
    <cellStyle name="Besøgt link" xfId="963" builtinId="9" hidden="1"/>
    <cellStyle name="Besøgt link" xfId="965" builtinId="9" hidden="1"/>
    <cellStyle name="Besøgt link" xfId="967" builtinId="9" hidden="1"/>
    <cellStyle name="Besøgt link" xfId="969" builtinId="9" hidden="1"/>
    <cellStyle name="Besøgt link" xfId="971" builtinId="9" hidden="1"/>
    <cellStyle name="Besøgt link" xfId="973" builtinId="9" hidden="1"/>
    <cellStyle name="Besøgt link" xfId="975" builtinId="9" hidden="1"/>
    <cellStyle name="Besøgt link" xfId="977" builtinId="9" hidden="1"/>
    <cellStyle name="Besøgt link" xfId="979" builtinId="9" hidden="1"/>
    <cellStyle name="Besøgt link" xfId="981" builtinId="9" hidden="1"/>
    <cellStyle name="Besøgt link" xfId="983" builtinId="9" hidden="1"/>
    <cellStyle name="Besøgt link" xfId="985" builtinId="9" hidden="1"/>
    <cellStyle name="Besøgt link" xfId="987" builtinId="9" hidden="1"/>
    <cellStyle name="Besøgt link" xfId="989" builtinId="9" hidden="1"/>
    <cellStyle name="Besøgt link" xfId="991" builtinId="9" hidden="1"/>
    <cellStyle name="Besøgt link" xfId="993" builtinId="9" hidden="1"/>
    <cellStyle name="Besøgt link" xfId="995" builtinId="9" hidden="1"/>
    <cellStyle name="Besøgt link" xfId="997" builtinId="9" hidden="1"/>
    <cellStyle name="Besøgt link" xfId="999" builtinId="9" hidden="1"/>
    <cellStyle name="Besøgt link" xfId="1001" builtinId="9" hidden="1"/>
    <cellStyle name="Besøgt link" xfId="1003" builtinId="9" hidden="1"/>
    <cellStyle name="Besøgt link" xfId="1005" builtinId="9" hidden="1"/>
    <cellStyle name="Besøgt link" xfId="1007" builtinId="9" hidden="1"/>
    <cellStyle name="Besøgt link" xfId="1009" builtinId="9" hidden="1"/>
    <cellStyle name="Besøgt link" xfId="1011" builtinId="9" hidden="1"/>
    <cellStyle name="Besøgt link" xfId="1013" builtinId="9" hidden="1"/>
    <cellStyle name="Besøgt link" xfId="1015" builtinId="9" hidden="1"/>
    <cellStyle name="Besøgt link" xfId="1017" builtinId="9" hidden="1"/>
    <cellStyle name="Besøgt link" xfId="1019" builtinId="9" hidden="1"/>
    <cellStyle name="Besøgt link" xfId="1021" builtinId="9" hidden="1"/>
    <cellStyle name="Besøgt link" xfId="1023" builtinId="9" hidden="1"/>
    <cellStyle name="Besøgt link" xfId="1025" builtinId="9" hidden="1"/>
    <cellStyle name="Besøgt link" xfId="1027" builtinId="9" hidden="1"/>
    <cellStyle name="Besøgt link" xfId="1029" builtinId="9" hidden="1"/>
    <cellStyle name="Besøgt link" xfId="1031" builtinId="9" hidden="1"/>
    <cellStyle name="Besøgt link" xfId="1033" builtinId="9" hidden="1"/>
    <cellStyle name="Besøgt link" xfId="1035" builtinId="9" hidden="1"/>
    <cellStyle name="Besøgt link" xfId="1037" builtinId="9" hidden="1"/>
    <cellStyle name="Besøgt link" xfId="1039" builtinId="9" hidden="1"/>
    <cellStyle name="Besøgt link" xfId="1041" builtinId="9" hidden="1"/>
    <cellStyle name="Besøgt link" xfId="1043" builtinId="9" hidden="1"/>
    <cellStyle name="Besøgt link" xfId="1045" builtinId="9" hidden="1"/>
    <cellStyle name="Besøgt link" xfId="1047" builtinId="9" hidden="1"/>
    <cellStyle name="Besøgt link" xfId="1049" builtinId="9" hidden="1"/>
    <cellStyle name="Besøgt link" xfId="1051" builtinId="9" hidden="1"/>
    <cellStyle name="Besøgt link" xfId="1053" builtinId="9" hidden="1"/>
    <cellStyle name="Besøgt link" xfId="1055" builtinId="9" hidden="1"/>
    <cellStyle name="Besøgt link" xfId="1057" builtinId="9" hidden="1"/>
    <cellStyle name="Besøgt link" xfId="1059" builtinId="9" hidden="1"/>
    <cellStyle name="Besøgt link" xfId="1061" builtinId="9" hidden="1"/>
    <cellStyle name="Besøgt link" xfId="1063" builtinId="9" hidden="1"/>
    <cellStyle name="Besøgt link" xfId="1065" builtinId="9" hidden="1"/>
    <cellStyle name="Besøgt link" xfId="1067" builtinId="9" hidden="1"/>
    <cellStyle name="Besøgt link" xfId="1069" builtinId="9" hidden="1"/>
    <cellStyle name="Besøgt link" xfId="1071" builtinId="9" hidden="1"/>
    <cellStyle name="Besøgt link" xfId="1073" builtinId="9" hidden="1"/>
    <cellStyle name="Besøgt link" xfId="1075" builtinId="9" hidden="1"/>
    <cellStyle name="Besøgt link" xfId="1077" builtinId="9" hidden="1"/>
    <cellStyle name="Besøgt link" xfId="1079" builtinId="9" hidden="1"/>
    <cellStyle name="Besøgt link" xfId="1081" builtinId="9" hidden="1"/>
    <cellStyle name="Besøgt link" xfId="1083" builtinId="9" hidden="1"/>
    <cellStyle name="Besøgt link" xfId="1085" builtinId="9" hidden="1"/>
    <cellStyle name="Besøgt link" xfId="1087" builtinId="9" hidden="1"/>
    <cellStyle name="Besøgt link" xfId="1089" builtinId="9" hidden="1"/>
    <cellStyle name="Besøgt link" xfId="1091" builtinId="9" hidden="1"/>
    <cellStyle name="Besøgt link" xfId="1093" builtinId="9" hidden="1"/>
    <cellStyle name="Besøgt link" xfId="1095" builtinId="9" hidden="1"/>
    <cellStyle name="Besøgt link" xfId="1097" builtinId="9" hidden="1"/>
    <cellStyle name="Besøgt link" xfId="1099" builtinId="9" hidden="1"/>
    <cellStyle name="Besøgt link" xfId="1101" builtinId="9" hidden="1"/>
    <cellStyle name="Besøgt link" xfId="1103" builtinId="9" hidden="1"/>
    <cellStyle name="Besøgt link" xfId="1105" builtinId="9" hidden="1"/>
    <cellStyle name="Besøgt link" xfId="1107" builtinId="9" hidden="1"/>
    <cellStyle name="Besøgt link" xfId="1109" builtinId="9" hidden="1"/>
    <cellStyle name="Besøgt link" xfId="1111" builtinId="9" hidden="1"/>
    <cellStyle name="Besøgt link" xfId="1113" builtinId="9" hidden="1"/>
    <cellStyle name="Besøgt link" xfId="1115" builtinId="9" hidden="1"/>
    <cellStyle name="Besøgt link" xfId="1117" builtinId="9" hidden="1"/>
    <cellStyle name="Besøgt link" xfId="1119" builtinId="9" hidden="1"/>
    <cellStyle name="Besøgt link" xfId="1121" builtinId="9" hidden="1"/>
    <cellStyle name="Besøgt link" xfId="1123" builtinId="9" hidden="1"/>
    <cellStyle name="Besøgt link" xfId="1125" builtinId="9" hidden="1"/>
    <cellStyle name="Besøgt link" xfId="1127" builtinId="9" hidden="1"/>
    <cellStyle name="Besøgt link" xfId="1129" builtinId="9" hidden="1"/>
    <cellStyle name="Besøgt link" xfId="1131" builtinId="9" hidden="1"/>
    <cellStyle name="Besøgt link" xfId="1133" builtinId="9" hidden="1"/>
    <cellStyle name="Besøgt link" xfId="1135" builtinId="9" hidden="1"/>
    <cellStyle name="Besøgt link" xfId="1137" builtinId="9" hidden="1"/>
    <cellStyle name="Besøgt link" xfId="1139" builtinId="9" hidden="1"/>
    <cellStyle name="Besøgt link" xfId="1141" builtinId="9" hidden="1"/>
    <cellStyle name="Besøgt link" xfId="1143" builtinId="9" hidden="1"/>
    <cellStyle name="Besøgt link" xfId="1145" builtinId="9" hidden="1"/>
    <cellStyle name="Besøgt link" xfId="1147" builtinId="9" hidden="1"/>
    <cellStyle name="Besøgt link" xfId="1149" builtinId="9" hidden="1"/>
    <cellStyle name="Besøgt link" xfId="1151" builtinId="9" hidden="1"/>
    <cellStyle name="Besøgt link" xfId="1153" builtinId="9" hidden="1"/>
    <cellStyle name="Besøgt link" xfId="1155" builtinId="9" hidden="1"/>
    <cellStyle name="Besøgt link" xfId="1157" builtinId="9" hidden="1"/>
    <cellStyle name="Besøgt link" xfId="1159" builtinId="9" hidden="1"/>
    <cellStyle name="Besøgt link" xfId="1161" builtinId="9" hidden="1"/>
    <cellStyle name="Besøgt link" xfId="1163" builtinId="9" hidden="1"/>
    <cellStyle name="Besøgt link" xfId="1165" builtinId="9" hidden="1"/>
    <cellStyle name="Besøgt link" xfId="1167" builtinId="9" hidden="1"/>
    <cellStyle name="Besøgt link" xfId="1169" builtinId="9" hidden="1"/>
    <cellStyle name="Besøgt link" xfId="1171" builtinId="9" hidden="1"/>
    <cellStyle name="Besøgt link" xfId="1173" builtinId="9" hidden="1"/>
    <cellStyle name="Besøgt link" xfId="1175" builtinId="9" hidden="1"/>
    <cellStyle name="Besøgt link" xfId="1177" builtinId="9" hidden="1"/>
    <cellStyle name="Besøgt link" xfId="1179" builtinId="9" hidden="1"/>
    <cellStyle name="Besøgt link" xfId="1181" builtinId="9" hidden="1"/>
    <cellStyle name="Besøgt link" xfId="1183" builtinId="9" hidden="1"/>
    <cellStyle name="Besøgt link" xfId="1185" builtinId="9" hidden="1"/>
    <cellStyle name="Besøgt link" xfId="1187" builtinId="9" hidden="1"/>
    <cellStyle name="Besøgt link" xfId="1189" builtinId="9" hidden="1"/>
    <cellStyle name="Besøgt link" xfId="1191" builtinId="9" hidden="1"/>
    <cellStyle name="Besøgt link" xfId="1193" builtinId="9" hidden="1"/>
    <cellStyle name="Besøgt link" xfId="1195" builtinId="9" hidden="1"/>
    <cellStyle name="Besøgt link" xfId="1197" builtinId="9" hidden="1"/>
    <cellStyle name="Besøgt link" xfId="1199" builtinId="9" hidden="1"/>
    <cellStyle name="Besøgt link" xfId="1201" builtinId="9" hidden="1"/>
    <cellStyle name="Besøgt link" xfId="1203" builtinId="9" hidden="1"/>
    <cellStyle name="Besøgt link" xfId="1205" builtinId="9" hidden="1"/>
    <cellStyle name="Besøgt link" xfId="1207" builtinId="9" hidden="1"/>
    <cellStyle name="Besøgt link" xfId="1209" builtinId="9" hidden="1"/>
    <cellStyle name="Besøgt link" xfId="1211" builtinId="9" hidden="1"/>
    <cellStyle name="Besøgt link" xfId="1213" builtinId="9" hidden="1"/>
    <cellStyle name="Besøgt link" xfId="1215" builtinId="9" hidden="1"/>
    <cellStyle name="Besøgt link" xfId="1217" builtinId="9" hidden="1"/>
    <cellStyle name="Besøgt link" xfId="1219" builtinId="9" hidden="1"/>
    <cellStyle name="Besøgt link" xfId="1221" builtinId="9" hidden="1"/>
    <cellStyle name="Besøgt link" xfId="1223" builtinId="9" hidden="1"/>
    <cellStyle name="Besøgt link" xfId="1225" builtinId="9" hidden="1"/>
    <cellStyle name="Besøgt link" xfId="1227" builtinId="9" hidden="1"/>
    <cellStyle name="Besøgt link" xfId="1229" builtinId="9" hidden="1"/>
    <cellStyle name="Besøgt link" xfId="1231" builtinId="9" hidden="1"/>
    <cellStyle name="Besøgt link" xfId="1233" builtinId="9" hidden="1"/>
    <cellStyle name="Besøgt link" xfId="1235" builtinId="9" hidden="1"/>
    <cellStyle name="Besøgt link" xfId="1237" builtinId="9" hidden="1"/>
    <cellStyle name="Besøgt link" xfId="1239" builtinId="9" hidden="1"/>
    <cellStyle name="Besøgt link" xfId="1241" builtinId="9" hidden="1"/>
    <cellStyle name="Besøgt link" xfId="1243" builtinId="9" hidden="1"/>
    <cellStyle name="Besøgt link" xfId="1245" builtinId="9" hidden="1"/>
    <cellStyle name="Besøgt link" xfId="1247" builtinId="9" hidden="1"/>
    <cellStyle name="Besøgt link" xfId="1249" builtinId="9" hidden="1"/>
    <cellStyle name="Besøgt link" xfId="1251" builtinId="9" hidden="1"/>
    <cellStyle name="Besøgt link" xfId="1253" builtinId="9" hidden="1"/>
    <cellStyle name="Besøgt link" xfId="1255" builtinId="9" hidden="1"/>
    <cellStyle name="Besøgt link" xfId="1257" builtinId="9" hidden="1"/>
    <cellStyle name="Besøgt link" xfId="1259" builtinId="9" hidden="1"/>
    <cellStyle name="Besøgt link" xfId="1261" builtinId="9" hidden="1"/>
    <cellStyle name="Besøgt link" xfId="1263" builtinId="9" hidden="1"/>
    <cellStyle name="Besøgt link" xfId="1265" builtinId="9" hidden="1"/>
    <cellStyle name="Besøgt link" xfId="1267" builtinId="9" hidden="1"/>
    <cellStyle name="Besøgt link" xfId="1269" builtinId="9" hidden="1"/>
    <cellStyle name="Besøgt link" xfId="1271" builtinId="9" hidden="1"/>
    <cellStyle name="Besøgt link" xfId="1273" builtinId="9" hidden="1"/>
    <cellStyle name="Besøgt link" xfId="1275" builtinId="9" hidden="1"/>
    <cellStyle name="Besøgt link" xfId="1277" builtinId="9" hidden="1"/>
    <cellStyle name="Besøgt link" xfId="1279" builtinId="9" hidden="1"/>
    <cellStyle name="Besøgt link" xfId="1281" builtinId="9" hidden="1"/>
    <cellStyle name="Besøgt link" xfId="1283" builtinId="9" hidden="1"/>
    <cellStyle name="Besøgt link" xfId="1285" builtinId="9" hidden="1"/>
    <cellStyle name="Besøgt link" xfId="1287" builtinId="9" hidden="1"/>
    <cellStyle name="Besøgt link" xfId="1289" builtinId="9" hidden="1"/>
    <cellStyle name="Besøgt link" xfId="1291" builtinId="9" hidden="1"/>
    <cellStyle name="Besøgt link" xfId="1293" builtinId="9" hidden="1"/>
    <cellStyle name="Besøgt link" xfId="1295" builtinId="9" hidden="1"/>
    <cellStyle name="Besøgt link" xfId="1297" builtinId="9" hidden="1"/>
    <cellStyle name="Besøgt link" xfId="1299" builtinId="9" hidden="1"/>
    <cellStyle name="Besøgt link" xfId="1301" builtinId="9" hidden="1"/>
    <cellStyle name="Besøgt link" xfId="1303" builtinId="9" hidden="1"/>
    <cellStyle name="Besøgt link" xfId="1305" builtinId="9" hidden="1"/>
    <cellStyle name="Besøgt link" xfId="1307" builtinId="9" hidden="1"/>
    <cellStyle name="Besøgt link" xfId="1309" builtinId="9" hidden="1"/>
    <cellStyle name="Besøgt link" xfId="1311" builtinId="9" hidden="1"/>
    <cellStyle name="Besøgt link" xfId="1313" builtinId="9" hidden="1"/>
    <cellStyle name="Besøgt link" xfId="1315" builtinId="9" hidden="1"/>
    <cellStyle name="Besøgt link" xfId="1317" builtinId="9" hidden="1"/>
    <cellStyle name="Besøgt link" xfId="1319" builtinId="9" hidden="1"/>
    <cellStyle name="Besøgt link" xfId="1321" builtinId="9" hidden="1"/>
    <cellStyle name="Besøgt link" xfId="1323" builtinId="9" hidden="1"/>
    <cellStyle name="Besøgt link" xfId="1325" builtinId="9" hidden="1"/>
    <cellStyle name="Besøgt link" xfId="1327" builtinId="9" hidden="1"/>
    <cellStyle name="Besøgt link" xfId="1329" builtinId="9" hidden="1"/>
    <cellStyle name="Besøgt link" xfId="1331" builtinId="9" hidden="1"/>
    <cellStyle name="Besøgt link" xfId="1333" builtinId="9" hidden="1"/>
    <cellStyle name="Besøgt link" xfId="1335" builtinId="9" hidden="1"/>
    <cellStyle name="Besøgt link" xfId="1337" builtinId="9" hidden="1"/>
    <cellStyle name="Besøgt link" xfId="1339" builtinId="9" hidden="1"/>
    <cellStyle name="Besøgt link" xfId="1341" builtinId="9" hidden="1"/>
    <cellStyle name="Besøgt link" xfId="1343" builtinId="9" hidden="1"/>
    <cellStyle name="Besøgt link" xfId="1345" builtinId="9" hidden="1"/>
    <cellStyle name="Besøgt link" xfId="1347" builtinId="9" hidden="1"/>
    <cellStyle name="Besøgt link" xfId="1349" builtinId="9" hidden="1"/>
    <cellStyle name="Besøgt link" xfId="1351" builtinId="9" hidden="1"/>
    <cellStyle name="Besøgt link" xfId="1353" builtinId="9" hidden="1"/>
    <cellStyle name="Besøgt link" xfId="1355" builtinId="9" hidden="1"/>
    <cellStyle name="Besøgt link" xfId="1357" builtinId="9" hidden="1"/>
    <cellStyle name="Besøgt link" xfId="1359" builtinId="9" hidden="1"/>
    <cellStyle name="Besøgt link" xfId="1361" builtinId="9" hidden="1"/>
    <cellStyle name="Besøgt link" xfId="1363" builtinId="9" hidden="1"/>
    <cellStyle name="Besøgt link" xfId="1365" builtinId="9" hidden="1"/>
    <cellStyle name="Besøgt link" xfId="1367" builtinId="9" hidden="1"/>
    <cellStyle name="Besøgt link" xfId="1369" builtinId="9" hidden="1"/>
    <cellStyle name="Besøgt link" xfId="1371" builtinId="9" hidden="1"/>
    <cellStyle name="Besøgt link" xfId="1373" builtinId="9" hidden="1"/>
    <cellStyle name="Besøgt link" xfId="1375" builtinId="9" hidden="1"/>
    <cellStyle name="Besøgt link" xfId="1377" builtinId="9" hidden="1"/>
    <cellStyle name="Besøgt link" xfId="1379" builtinId="9" hidden="1"/>
    <cellStyle name="Besøgt link" xfId="1381" builtinId="9" hidden="1"/>
    <cellStyle name="Besøgt link" xfId="1383" builtinId="9" hidden="1"/>
    <cellStyle name="Besøgt link" xfId="1385" builtinId="9" hidden="1"/>
    <cellStyle name="Besøgt link" xfId="1387" builtinId="9" hidden="1"/>
    <cellStyle name="Besøgt link" xfId="1389" builtinId="9" hidden="1"/>
    <cellStyle name="Besøgt link" xfId="1391" builtinId="9" hidden="1"/>
    <cellStyle name="Besøgt link" xfId="1393" builtinId="9" hidden="1"/>
    <cellStyle name="Besøgt link" xfId="1395" builtinId="9" hidden="1"/>
    <cellStyle name="Besøgt link" xfId="1397" builtinId="9" hidden="1"/>
    <cellStyle name="Besøgt link" xfId="1399" builtinId="9" hidden="1"/>
    <cellStyle name="Besøgt link" xfId="1401" builtinId="9" hidden="1"/>
    <cellStyle name="Besøgt link" xfId="1403" builtinId="9" hidden="1"/>
    <cellStyle name="Besøgt link" xfId="1405" builtinId="9" hidden="1"/>
    <cellStyle name="Besøgt link" xfId="1407" builtinId="9" hidden="1"/>
    <cellStyle name="Besøgt link" xfId="1409" builtinId="9" hidden="1"/>
    <cellStyle name="Besøgt link" xfId="1411" builtinId="9" hidden="1"/>
    <cellStyle name="Besøgt link" xfId="1413" builtinId="9" hidden="1"/>
    <cellStyle name="Besøgt link" xfId="1415" builtinId="9" hidden="1"/>
    <cellStyle name="Besøgt link" xfId="1417" builtinId="9" hidden="1"/>
    <cellStyle name="Besøgt link" xfId="1419" builtinId="9" hidden="1"/>
    <cellStyle name="Besøgt link" xfId="142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Komma" xfId="80" builtinId="3"/>
    <cellStyle name="komma0" xfId="35"/>
    <cellStyle name="komma0 2" xfId="772"/>
    <cellStyle name="Normal" xfId="0" builtinId="0"/>
    <cellStyle name="Normal 2" xfId="709"/>
    <cellStyle name="Procent 2" xfId="774"/>
    <cellStyle name="Valuta 2" xfId="7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haredStrings" Target="sharedStrings.xml"/><Relationship Id="rId2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externalLink" Target="externalLinks/externalLink1.xml"/><Relationship Id="rId17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127418</xdr:colOff>
      <xdr:row>16</xdr:row>
      <xdr:rowOff>127001</xdr:rowOff>
    </xdr:from>
    <xdr:to>
      <xdr:col>4</xdr:col>
      <xdr:colOff>1358900</xdr:colOff>
      <xdr:row>17</xdr:row>
      <xdr:rowOff>83694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518" y="7518401"/>
          <a:ext cx="1231482" cy="147193"/>
        </a:xfrm>
        <a:prstGeom prst="rect">
          <a:avLst/>
        </a:prstGeom>
      </xdr:spPr>
    </xdr:pic>
    <xdr:clientData/>
  </xdr:twoCellAnchor>
  <xdr:twoCellAnchor editAs="oneCell">
    <xdr:from>
      <xdr:col>4</xdr:col>
      <xdr:colOff>346075</xdr:colOff>
      <xdr:row>11</xdr:row>
      <xdr:rowOff>38103</xdr:rowOff>
    </xdr:from>
    <xdr:to>
      <xdr:col>4</xdr:col>
      <xdr:colOff>1057275</xdr:colOff>
      <xdr:row>12</xdr:row>
      <xdr:rowOff>980</xdr:rowOff>
    </xdr:to>
    <xdr:pic>
      <xdr:nvPicPr>
        <xdr:cNvPr id="7" name="Billed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3175" y="6057903"/>
          <a:ext cx="711200" cy="547077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10</xdr:row>
      <xdr:rowOff>164211</xdr:rowOff>
    </xdr:from>
    <xdr:to>
      <xdr:col>4</xdr:col>
      <xdr:colOff>1242095</xdr:colOff>
      <xdr:row>10</xdr:row>
      <xdr:rowOff>444500</xdr:rowOff>
    </xdr:to>
    <xdr:pic>
      <xdr:nvPicPr>
        <xdr:cNvPr id="9" name="Billede 8" descr="logo 4 farvet jpg.jp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5599811"/>
          <a:ext cx="1051595" cy="280289"/>
        </a:xfrm>
        <a:prstGeom prst="rect">
          <a:avLst/>
        </a:prstGeom>
      </xdr:spPr>
    </xdr:pic>
    <xdr:clientData/>
  </xdr:twoCellAnchor>
  <xdr:twoCellAnchor editAs="oneCell">
    <xdr:from>
      <xdr:col>5</xdr:col>
      <xdr:colOff>193674</xdr:colOff>
      <xdr:row>10</xdr:row>
      <xdr:rowOff>231775</xdr:rowOff>
    </xdr:from>
    <xdr:to>
      <xdr:col>8</xdr:col>
      <xdr:colOff>344433</xdr:colOff>
      <xdr:row>10</xdr:row>
      <xdr:rowOff>469900</xdr:rowOff>
    </xdr:to>
    <xdr:pic>
      <xdr:nvPicPr>
        <xdr:cNvPr id="11" name="Billed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4774" y="5667375"/>
          <a:ext cx="1992259" cy="238125"/>
        </a:xfrm>
        <a:prstGeom prst="rect">
          <a:avLst/>
        </a:prstGeom>
      </xdr:spPr>
    </xdr:pic>
    <xdr:clientData/>
  </xdr:twoCellAnchor>
  <xdr:twoCellAnchor editAs="oneCell">
    <xdr:from>
      <xdr:col>4</xdr:col>
      <xdr:colOff>368300</xdr:colOff>
      <xdr:row>12</xdr:row>
      <xdr:rowOff>25400</xdr:rowOff>
    </xdr:from>
    <xdr:to>
      <xdr:col>4</xdr:col>
      <xdr:colOff>990599</xdr:colOff>
      <xdr:row>14</xdr:row>
      <xdr:rowOff>210021</xdr:rowOff>
    </xdr:to>
    <xdr:pic>
      <xdr:nvPicPr>
        <xdr:cNvPr id="10" name="Billede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5400" y="6629400"/>
          <a:ext cx="622299" cy="5529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&#216;N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/LilleSkoler/LSF/3.%20V&#198;RKT&#216;JER%20TIL%20SKOLER/3.09%20L&#248;ntabeller/2015/F&#230;lles%20l&#248;ntabel_alle%20medarb_2905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on12"/>
      <sheetName val="Pæd"/>
      <sheetName val="timelon"/>
      <sheetName val="aarslon"/>
      <sheetName val="mdslon"/>
      <sheetName val="natpenge og tillæg"/>
      <sheetName val="Klassificering 09"/>
      <sheetName val="Uv.till."/>
      <sheetName val="intervalløn"/>
      <sheetName val="ATP"/>
      <sheetName val="Løn&amp;arb.tid"/>
    </sheetNames>
    <sheetDataSet>
      <sheetData sheetId="0"/>
      <sheetData sheetId="1"/>
      <sheetData sheetId="2"/>
      <sheetData sheetId="3">
        <row r="1">
          <cell r="A1">
            <v>1.7162E-2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1"/>
      <sheetName val="Lærere og bh kl ledere"/>
      <sheetName val="Ledere"/>
      <sheetName val="BUPL"/>
      <sheetName val="3F (DP)"/>
      <sheetName val="HK (LS)"/>
      <sheetName val="Krifa"/>
      <sheetName val="Statens skalatrin"/>
      <sheetName val="Generelle satser"/>
      <sheetName val="Løntabel gældende f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D7">
            <v>2.1745000000000001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6"/>
  <sheetViews>
    <sheetView tabSelected="1" workbookViewId="0">
      <selection activeCell="A7" sqref="A7:I7"/>
    </sheetView>
  </sheetViews>
  <sheetFormatPr baseColWidth="10" defaultColWidth="8.83203125" defaultRowHeight="15" x14ac:dyDescent="0.2"/>
  <cols>
    <col min="1" max="1" width="29.1640625" style="38" customWidth="1"/>
    <col min="2" max="2" width="16.33203125" customWidth="1"/>
    <col min="3" max="3" width="24.33203125" hidden="1" customWidth="1"/>
    <col min="4" max="4" width="9.6640625" hidden="1" customWidth="1"/>
    <col min="5" max="5" width="20" bestFit="1" customWidth="1"/>
    <col min="6" max="6" width="4.6640625" customWidth="1"/>
    <col min="7" max="7" width="8.83203125" customWidth="1"/>
    <col min="8" max="8" width="10.6640625" customWidth="1"/>
    <col min="9" max="9" width="6" customWidth="1"/>
  </cols>
  <sheetData>
    <row r="1" spans="1:21" ht="110" customHeight="1" x14ac:dyDescent="0.3">
      <c r="A1" s="902"/>
      <c r="B1" s="902"/>
      <c r="C1" s="902"/>
      <c r="D1" s="902"/>
      <c r="E1" s="902"/>
      <c r="F1" s="902"/>
      <c r="G1" s="902"/>
      <c r="H1" s="902"/>
      <c r="I1" s="902"/>
    </row>
    <row r="2" spans="1:21" ht="30" customHeight="1" x14ac:dyDescent="0.2">
      <c r="A2" s="895"/>
      <c r="B2" s="895"/>
      <c r="C2" s="895"/>
      <c r="D2" s="895"/>
      <c r="E2" s="895"/>
      <c r="F2" s="895"/>
      <c r="G2" s="895"/>
      <c r="H2" s="895"/>
      <c r="I2" s="895"/>
    </row>
    <row r="3" spans="1:21" ht="37" customHeight="1" x14ac:dyDescent="0.3">
      <c r="A3" s="902" t="s">
        <v>86</v>
      </c>
      <c r="B3" s="902"/>
      <c r="C3" s="902"/>
      <c r="D3" s="902"/>
      <c r="E3" s="902"/>
      <c r="F3" s="902"/>
      <c r="G3" s="902"/>
      <c r="H3" s="902"/>
      <c r="I3" s="902"/>
      <c r="M3" s="900"/>
      <c r="N3" s="901"/>
      <c r="O3" s="901"/>
      <c r="P3" s="901"/>
      <c r="Q3" s="901"/>
      <c r="R3" s="901"/>
      <c r="S3" s="901"/>
      <c r="T3" s="901"/>
      <c r="U3" s="901"/>
    </row>
    <row r="4" spans="1:21" ht="26" customHeight="1" x14ac:dyDescent="0.3">
      <c r="A4" s="902" t="s">
        <v>85</v>
      </c>
      <c r="B4" s="902"/>
      <c r="C4" s="902"/>
      <c r="D4" s="902"/>
      <c r="E4" s="902"/>
      <c r="F4" s="902"/>
      <c r="G4" s="902"/>
      <c r="H4" s="902"/>
      <c r="I4" s="902"/>
    </row>
    <row r="5" spans="1:21" s="35" customFormat="1" ht="14" customHeight="1" x14ac:dyDescent="0.15">
      <c r="A5" s="895"/>
      <c r="B5" s="895"/>
      <c r="C5" s="895"/>
      <c r="D5" s="895"/>
      <c r="E5" s="895"/>
      <c r="F5" s="895"/>
      <c r="G5" s="895"/>
      <c r="H5" s="895"/>
      <c r="I5" s="895"/>
    </row>
    <row r="6" spans="1:21" s="35" customFormat="1" ht="32" customHeight="1" x14ac:dyDescent="0.2">
      <c r="A6" s="898" t="s">
        <v>452</v>
      </c>
      <c r="B6" s="898"/>
      <c r="C6" s="898"/>
      <c r="D6" s="898"/>
      <c r="E6" s="898"/>
      <c r="F6" s="898"/>
      <c r="G6" s="898"/>
      <c r="H6" s="898"/>
      <c r="I6" s="898"/>
    </row>
    <row r="7" spans="1:21" ht="24" customHeight="1" x14ac:dyDescent="0.2">
      <c r="A7" s="903" t="s">
        <v>453</v>
      </c>
      <c r="B7" s="903"/>
      <c r="C7" s="903"/>
      <c r="D7" s="903"/>
      <c r="E7" s="903"/>
      <c r="F7" s="903"/>
      <c r="G7" s="903"/>
      <c r="H7" s="903"/>
      <c r="I7" s="903"/>
    </row>
    <row r="8" spans="1:21" ht="57" customHeight="1" x14ac:dyDescent="0.2">
      <c r="A8" s="906"/>
      <c r="B8" s="906"/>
      <c r="C8" s="906"/>
      <c r="D8" s="906"/>
      <c r="E8" s="906"/>
      <c r="F8" s="906"/>
      <c r="G8" s="906"/>
      <c r="H8" s="906"/>
      <c r="I8" s="906"/>
    </row>
    <row r="9" spans="1:21" ht="54" customHeight="1" x14ac:dyDescent="0.2">
      <c r="A9" s="907"/>
      <c r="B9" s="907"/>
      <c r="C9" s="907"/>
      <c r="D9" s="907"/>
      <c r="E9" s="907"/>
      <c r="F9" s="907"/>
      <c r="G9" s="907"/>
      <c r="H9" s="907"/>
      <c r="I9" s="907"/>
    </row>
    <row r="10" spans="1:21" ht="19" customHeight="1" x14ac:dyDescent="0.2">
      <c r="A10" s="891"/>
      <c r="B10" s="891"/>
      <c r="C10" s="891"/>
      <c r="D10" s="891"/>
      <c r="E10" s="891"/>
      <c r="F10" s="904"/>
      <c r="G10" s="904"/>
      <c r="H10" s="904"/>
      <c r="I10" s="904"/>
    </row>
    <row r="11" spans="1:21" ht="46" customHeight="1" x14ac:dyDescent="0.2">
      <c r="A11" s="892" t="s">
        <v>89</v>
      </c>
      <c r="B11" s="892"/>
      <c r="C11" s="892"/>
      <c r="D11" s="892"/>
      <c r="E11" s="36"/>
      <c r="F11" s="905" t="s">
        <v>426</v>
      </c>
      <c r="G11" s="905"/>
      <c r="H11" s="905"/>
      <c r="I11" s="905"/>
    </row>
    <row r="12" spans="1:21" ht="46" customHeight="1" x14ac:dyDescent="0.2">
      <c r="A12" s="892" t="s">
        <v>87</v>
      </c>
      <c r="B12" s="892"/>
      <c r="C12" s="892"/>
      <c r="D12" s="892"/>
      <c r="E12" s="36"/>
      <c r="F12" s="889" t="s">
        <v>427</v>
      </c>
      <c r="G12" s="889"/>
      <c r="H12" s="889"/>
      <c r="I12" s="889"/>
    </row>
    <row r="13" spans="1:21" ht="14" customHeight="1" x14ac:dyDescent="0.2">
      <c r="A13" s="892" t="s">
        <v>419</v>
      </c>
      <c r="B13" s="892"/>
      <c r="C13" s="892"/>
      <c r="D13" s="892"/>
      <c r="E13" s="893"/>
      <c r="F13" s="889" t="s">
        <v>428</v>
      </c>
      <c r="G13" s="889"/>
      <c r="H13" s="889"/>
      <c r="I13" s="889"/>
    </row>
    <row r="14" spans="1:21" ht="15" customHeight="1" x14ac:dyDescent="0.2">
      <c r="A14" s="892"/>
      <c r="B14" s="892"/>
      <c r="C14" s="892"/>
      <c r="D14" s="892"/>
      <c r="E14" s="893"/>
      <c r="F14" s="889"/>
      <c r="G14" s="889"/>
      <c r="H14" s="889"/>
      <c r="I14" s="889"/>
    </row>
    <row r="15" spans="1:21" ht="18" customHeight="1" x14ac:dyDescent="0.2">
      <c r="A15" s="892"/>
      <c r="B15" s="892"/>
      <c r="C15" s="892"/>
      <c r="D15" s="892"/>
      <c r="E15" s="893"/>
      <c r="F15" s="889" t="s">
        <v>433</v>
      </c>
      <c r="G15" s="889"/>
      <c r="H15" s="889"/>
      <c r="I15" s="889"/>
    </row>
    <row r="16" spans="1:21" ht="15" customHeight="1" x14ac:dyDescent="0.2">
      <c r="A16" s="894" t="s">
        <v>88</v>
      </c>
      <c r="B16" s="894"/>
      <c r="C16" s="43"/>
      <c r="D16" s="43"/>
      <c r="E16" s="893"/>
      <c r="F16" s="889" t="s">
        <v>429</v>
      </c>
      <c r="G16" s="889"/>
      <c r="H16" s="889"/>
      <c r="I16" s="889"/>
    </row>
    <row r="17" spans="1:9" ht="15" customHeight="1" x14ac:dyDescent="0.2">
      <c r="A17" s="894"/>
      <c r="B17" s="894"/>
      <c r="C17" s="43"/>
      <c r="D17" s="43"/>
      <c r="E17" s="893"/>
      <c r="F17" s="889" t="s">
        <v>430</v>
      </c>
      <c r="G17" s="889"/>
      <c r="H17" s="889"/>
      <c r="I17" s="889"/>
    </row>
    <row r="18" spans="1:9" ht="15" customHeight="1" x14ac:dyDescent="0.2">
      <c r="A18" s="894"/>
      <c r="B18" s="894"/>
      <c r="C18" s="43"/>
      <c r="D18" s="43"/>
      <c r="E18" s="893"/>
      <c r="F18" s="889" t="s">
        <v>431</v>
      </c>
      <c r="G18" s="889"/>
      <c r="H18" s="889"/>
      <c r="I18" s="889"/>
    </row>
    <row r="19" spans="1:9" ht="12" customHeight="1" x14ac:dyDescent="0.2">
      <c r="A19" s="894"/>
      <c r="B19" s="894"/>
      <c r="C19" s="43"/>
      <c r="D19" s="43"/>
      <c r="E19" s="893"/>
      <c r="F19" s="889" t="s">
        <v>432</v>
      </c>
      <c r="G19" s="889"/>
      <c r="H19" s="889"/>
      <c r="I19" s="889"/>
    </row>
    <row r="20" spans="1:9" ht="12" customHeight="1" x14ac:dyDescent="0.2">
      <c r="A20" s="890"/>
      <c r="B20" s="890"/>
      <c r="C20" s="890"/>
      <c r="D20" s="890"/>
      <c r="E20" s="890"/>
      <c r="F20" s="848"/>
      <c r="G20" s="848"/>
      <c r="H20" s="848"/>
      <c r="I20" s="848"/>
    </row>
    <row r="21" spans="1:9" ht="12" customHeight="1" x14ac:dyDescent="0.2">
      <c r="A21" s="890"/>
      <c r="B21" s="890"/>
      <c r="C21" s="890"/>
      <c r="D21" s="890"/>
      <c r="E21" s="890"/>
      <c r="F21" s="848"/>
      <c r="G21" s="848"/>
      <c r="H21" s="848"/>
      <c r="I21" s="848"/>
    </row>
    <row r="22" spans="1:9" ht="46" customHeight="1" x14ac:dyDescent="0.2">
      <c r="A22" s="891"/>
      <c r="B22" s="891"/>
      <c r="C22" s="891"/>
      <c r="D22" s="891"/>
      <c r="E22" s="891"/>
      <c r="F22" s="891"/>
      <c r="G22" s="891"/>
      <c r="H22" s="891"/>
      <c r="I22" s="891"/>
    </row>
    <row r="23" spans="1:9" ht="46" customHeight="1" x14ac:dyDescent="0.2">
      <c r="A23" s="891"/>
      <c r="B23" s="891"/>
      <c r="C23" s="891"/>
      <c r="D23" s="891"/>
      <c r="E23" s="891"/>
      <c r="F23" s="891"/>
      <c r="G23" s="891"/>
      <c r="H23" s="891"/>
      <c r="I23" s="891"/>
    </row>
    <row r="24" spans="1:9" ht="46" customHeight="1" x14ac:dyDescent="0.2">
      <c r="A24" s="890" t="s">
        <v>140</v>
      </c>
      <c r="B24" s="890"/>
      <c r="C24" s="890"/>
      <c r="D24" s="890"/>
      <c r="E24" s="890"/>
      <c r="F24" s="890"/>
      <c r="G24" s="890"/>
      <c r="H24" s="890"/>
      <c r="I24" s="890"/>
    </row>
    <row r="25" spans="1:9" ht="85" customHeight="1" x14ac:dyDescent="0.2">
      <c r="A25" s="838"/>
      <c r="B25" s="838"/>
      <c r="C25" s="838"/>
      <c r="D25" s="838"/>
      <c r="E25" s="838"/>
    </row>
    <row r="26" spans="1:9" ht="13" customHeight="1" x14ac:dyDescent="0.2">
      <c r="A26" s="895"/>
      <c r="B26" s="895"/>
      <c r="C26" s="895"/>
      <c r="D26" s="895"/>
      <c r="E26" s="15"/>
    </row>
    <row r="27" spans="1:9" x14ac:dyDescent="0.2">
      <c r="B27" s="896"/>
      <c r="C27" s="896"/>
      <c r="D27" s="896"/>
      <c r="E27" s="145"/>
    </row>
    <row r="28" spans="1:9" x14ac:dyDescent="0.2">
      <c r="A28" s="39"/>
      <c r="B28" s="14"/>
      <c r="C28" s="14"/>
      <c r="D28" s="14"/>
      <c r="E28" s="14"/>
      <c r="F28" s="837"/>
      <c r="G28" s="837"/>
      <c r="H28" s="837"/>
      <c r="I28" s="837"/>
    </row>
    <row r="29" spans="1:9" x14ac:dyDescent="0.2">
      <c r="A29" s="895"/>
      <c r="B29" s="895"/>
      <c r="C29" s="895"/>
      <c r="D29" s="895"/>
      <c r="E29" s="15"/>
    </row>
    <row r="30" spans="1:9" x14ac:dyDescent="0.2">
      <c r="A30" s="837"/>
      <c r="B30" s="837"/>
      <c r="C30" s="837"/>
      <c r="D30" s="837"/>
      <c r="E30" s="837"/>
    </row>
    <row r="31" spans="1:9" x14ac:dyDescent="0.2">
      <c r="A31" s="895"/>
      <c r="B31" s="895"/>
      <c r="C31" s="895"/>
      <c r="D31" s="895"/>
      <c r="E31" s="15"/>
      <c r="H31" s="895"/>
      <c r="I31" s="895"/>
    </row>
    <row r="32" spans="1:9" x14ac:dyDescent="0.2">
      <c r="A32" s="895"/>
      <c r="B32" s="895"/>
      <c r="C32" s="895"/>
      <c r="D32" s="895"/>
      <c r="E32" s="15"/>
      <c r="H32" s="895"/>
      <c r="I32" s="895"/>
    </row>
    <row r="33" spans="1:9" x14ac:dyDescent="0.2">
      <c r="A33" s="895"/>
      <c r="B33" s="895"/>
      <c r="C33" s="895"/>
      <c r="D33" s="895"/>
      <c r="E33" s="15"/>
      <c r="H33" s="895"/>
      <c r="I33" s="895"/>
    </row>
    <row r="34" spans="1:9" x14ac:dyDescent="0.2">
      <c r="A34" s="895"/>
      <c r="B34" s="895"/>
      <c r="C34" s="895"/>
      <c r="D34" s="895"/>
      <c r="E34" s="15"/>
      <c r="H34" s="895"/>
      <c r="I34" s="895"/>
    </row>
    <row r="35" spans="1:9" x14ac:dyDescent="0.2">
      <c r="A35" s="895"/>
      <c r="B35" s="895"/>
      <c r="C35" s="895"/>
      <c r="D35" s="895"/>
      <c r="E35" s="15"/>
      <c r="H35" s="895"/>
      <c r="I35" s="895"/>
    </row>
    <row r="36" spans="1:9" x14ac:dyDescent="0.2">
      <c r="A36" s="895"/>
      <c r="B36" s="895"/>
      <c r="C36" s="895"/>
      <c r="D36" s="895"/>
      <c r="E36" s="15"/>
      <c r="H36" s="895"/>
      <c r="I36" s="895"/>
    </row>
    <row r="37" spans="1:9" x14ac:dyDescent="0.2">
      <c r="A37" s="895"/>
      <c r="B37" s="895"/>
      <c r="C37" s="895"/>
      <c r="D37" s="895"/>
      <c r="E37" s="15"/>
      <c r="H37" s="895"/>
      <c r="I37" s="895"/>
    </row>
    <row r="38" spans="1:9" x14ac:dyDescent="0.2">
      <c r="A38" s="895"/>
      <c r="B38" s="895"/>
      <c r="C38" s="895"/>
      <c r="D38" s="895"/>
      <c r="E38" s="15"/>
      <c r="H38" s="895"/>
      <c r="I38" s="895"/>
    </row>
    <row r="39" spans="1:9" x14ac:dyDescent="0.2">
      <c r="A39" s="39"/>
      <c r="B39" s="15"/>
      <c r="C39" s="15"/>
      <c r="D39" s="15"/>
      <c r="E39" s="15"/>
      <c r="H39" s="895"/>
      <c r="I39" s="895"/>
    </row>
    <row r="40" spans="1:9" ht="18" x14ac:dyDescent="0.2">
      <c r="A40" s="43"/>
      <c r="B40" s="896"/>
      <c r="C40" s="896"/>
      <c r="D40" s="896"/>
      <c r="E40" s="41"/>
      <c r="H40" s="895"/>
      <c r="I40" s="895"/>
    </row>
    <row r="41" spans="1:9" x14ac:dyDescent="0.2">
      <c r="A41" s="39"/>
      <c r="B41" s="14"/>
      <c r="C41" s="14"/>
      <c r="D41" s="14"/>
      <c r="E41" s="14"/>
    </row>
    <row r="42" spans="1:9" ht="16" x14ac:dyDescent="0.2">
      <c r="A42" s="899"/>
      <c r="B42" s="899"/>
      <c r="C42" s="899"/>
      <c r="D42" s="899"/>
      <c r="E42" s="37"/>
    </row>
    <row r="43" spans="1:9" ht="18" x14ac:dyDescent="0.2">
      <c r="A43" s="898"/>
      <c r="B43" s="898"/>
      <c r="C43" s="898"/>
      <c r="D43" s="898"/>
      <c r="E43" s="41"/>
    </row>
    <row r="44" spans="1:9" x14ac:dyDescent="0.2">
      <c r="A44" s="39"/>
      <c r="B44" s="14"/>
      <c r="C44" s="14"/>
      <c r="D44" s="14"/>
      <c r="E44" s="14"/>
    </row>
    <row r="45" spans="1:9" x14ac:dyDescent="0.2">
      <c r="A45" s="39"/>
      <c r="B45" s="14"/>
      <c r="C45" s="14"/>
      <c r="D45" s="14"/>
      <c r="E45" s="14"/>
    </row>
    <row r="46" spans="1:9" x14ac:dyDescent="0.2">
      <c r="A46" s="39"/>
      <c r="B46" s="14"/>
      <c r="C46" s="14"/>
      <c r="D46" s="14"/>
      <c r="E46" s="14"/>
    </row>
    <row r="47" spans="1:9" x14ac:dyDescent="0.2">
      <c r="A47" s="39"/>
      <c r="B47" s="14"/>
      <c r="C47" s="14"/>
      <c r="D47" s="14"/>
      <c r="E47" s="14"/>
    </row>
    <row r="48" spans="1:9" x14ac:dyDescent="0.2">
      <c r="A48" s="39"/>
      <c r="B48" s="14"/>
      <c r="C48" s="14"/>
      <c r="D48" s="14"/>
      <c r="E48" s="14"/>
    </row>
    <row r="50" spans="9:9" x14ac:dyDescent="0.2">
      <c r="I50" s="42"/>
    </row>
    <row r="51" spans="9:9" x14ac:dyDescent="0.2">
      <c r="I51" s="40"/>
    </row>
    <row r="53" spans="9:9" x14ac:dyDescent="0.2">
      <c r="I53" s="34"/>
    </row>
    <row r="54" spans="9:9" x14ac:dyDescent="0.2">
      <c r="I54" s="897"/>
    </row>
    <row r="55" spans="9:9" x14ac:dyDescent="0.2">
      <c r="I55" s="897"/>
    </row>
    <row r="56" spans="9:9" x14ac:dyDescent="0.2">
      <c r="I56" s="897"/>
    </row>
  </sheetData>
  <sheetProtection sheet="1" objects="1" scenarios="1"/>
  <mergeCells count="55">
    <mergeCell ref="M3:U3"/>
    <mergeCell ref="A1:I1"/>
    <mergeCell ref="A4:I4"/>
    <mergeCell ref="A3:I3"/>
    <mergeCell ref="A26:D26"/>
    <mergeCell ref="A7:I7"/>
    <mergeCell ref="F10:I10"/>
    <mergeCell ref="F11:I11"/>
    <mergeCell ref="A8:I8"/>
    <mergeCell ref="A6:I6"/>
    <mergeCell ref="A9:I9"/>
    <mergeCell ref="A5:I5"/>
    <mergeCell ref="A2:I2"/>
    <mergeCell ref="A11:D11"/>
    <mergeCell ref="A12:D12"/>
    <mergeCell ref="A10:E10"/>
    <mergeCell ref="I54:I56"/>
    <mergeCell ref="A43:D43"/>
    <mergeCell ref="A29:D29"/>
    <mergeCell ref="A31:D31"/>
    <mergeCell ref="A32:D32"/>
    <mergeCell ref="A33:D33"/>
    <mergeCell ref="A34:D34"/>
    <mergeCell ref="A35:D35"/>
    <mergeCell ref="A36:D36"/>
    <mergeCell ref="A37:D37"/>
    <mergeCell ref="A38:D38"/>
    <mergeCell ref="A42:D42"/>
    <mergeCell ref="H33:I33"/>
    <mergeCell ref="H34:I34"/>
    <mergeCell ref="H40:I40"/>
    <mergeCell ref="B40:D40"/>
    <mergeCell ref="H38:I38"/>
    <mergeCell ref="H39:I39"/>
    <mergeCell ref="B27:D27"/>
    <mergeCell ref="H31:I31"/>
    <mergeCell ref="H32:I32"/>
    <mergeCell ref="H35:I35"/>
    <mergeCell ref="H36:I36"/>
    <mergeCell ref="H37:I37"/>
    <mergeCell ref="F19:I19"/>
    <mergeCell ref="F15:I15"/>
    <mergeCell ref="A24:I24"/>
    <mergeCell ref="A22:I22"/>
    <mergeCell ref="A20:E21"/>
    <mergeCell ref="A23:I23"/>
    <mergeCell ref="A13:D15"/>
    <mergeCell ref="E13:E15"/>
    <mergeCell ref="A16:B19"/>
    <mergeCell ref="E16:E19"/>
    <mergeCell ref="F12:I12"/>
    <mergeCell ref="F13:I14"/>
    <mergeCell ref="F16:I16"/>
    <mergeCell ref="F17:I17"/>
    <mergeCell ref="F18:I18"/>
  </mergeCells>
  <phoneticPr fontId="6" type="noConversion"/>
  <pageMargins left="0.25590551181102361" right="0.25590551181102361" top="0.36000000000000004" bottom="0.16" header="0.30000000000000004" footer="0.3000000000000000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53"/>
  <sheetViews>
    <sheetView view="pageBreakPreview" zoomScaleNormal="125" zoomScaleSheetLayoutView="100" zoomScalePageLayoutView="125" workbookViewId="0">
      <selection activeCell="I55" sqref="I55"/>
    </sheetView>
  </sheetViews>
  <sheetFormatPr baseColWidth="10" defaultColWidth="8.83203125" defaultRowHeight="13" x14ac:dyDescent="0.15"/>
  <cols>
    <col min="1" max="10" width="12.6640625" style="253" customWidth="1"/>
    <col min="11" max="11" width="8.83203125" style="253"/>
    <col min="12" max="12" width="11.33203125" style="253" bestFit="1" customWidth="1"/>
    <col min="13" max="16384" width="8.83203125" style="253"/>
  </cols>
  <sheetData>
    <row r="1" spans="1:15" ht="20" x14ac:dyDescent="0.2">
      <c r="A1" s="1057" t="s">
        <v>20</v>
      </c>
      <c r="B1" s="1058"/>
      <c r="C1" s="1058"/>
      <c r="D1" s="1058"/>
      <c r="E1" s="1058"/>
      <c r="F1" s="1058"/>
      <c r="G1" s="1058"/>
      <c r="H1" s="1058"/>
      <c r="I1" s="1058"/>
      <c r="J1" s="1059"/>
    </row>
    <row r="2" spans="1:15" ht="39" customHeight="1" x14ac:dyDescent="0.2">
      <c r="A2" s="1348" t="s">
        <v>214</v>
      </c>
      <c r="B2" s="1349"/>
      <c r="C2" s="1349"/>
      <c r="D2" s="1349"/>
      <c r="E2" s="1349"/>
      <c r="F2" s="1349"/>
      <c r="G2" s="1349"/>
      <c r="H2" s="1349"/>
      <c r="I2" s="1349"/>
      <c r="J2" s="1350"/>
    </row>
    <row r="3" spans="1:15" ht="20" x14ac:dyDescent="0.2">
      <c r="A3" s="1072" t="str">
        <f>'Forside 1'!A6:I6</f>
        <v>Gældende for perioden: 1. april 2017 til 30. november 2017</v>
      </c>
      <c r="B3" s="1073"/>
      <c r="C3" s="1073"/>
      <c r="D3" s="1073"/>
      <c r="E3" s="1073"/>
      <c r="F3" s="1073"/>
      <c r="G3" s="1073"/>
      <c r="H3" s="1073"/>
      <c r="I3" s="1073"/>
      <c r="J3" s="1074"/>
    </row>
    <row r="4" spans="1:15" s="365" customFormat="1" ht="34" customHeight="1" thickBot="1" x14ac:dyDescent="0.2">
      <c r="A4" s="1410" t="s">
        <v>420</v>
      </c>
      <c r="B4" s="1411"/>
      <c r="C4" s="1411"/>
      <c r="D4" s="1411"/>
      <c r="E4" s="1411"/>
      <c r="F4" s="1411"/>
      <c r="G4" s="1411"/>
      <c r="H4" s="1411"/>
      <c r="I4" s="1411"/>
      <c r="J4" s="1412"/>
    </row>
    <row r="5" spans="1:15" ht="14" x14ac:dyDescent="0.15">
      <c r="A5" s="273"/>
      <c r="B5" s="273"/>
      <c r="C5" s="273"/>
      <c r="D5" s="273"/>
      <c r="E5" s="273"/>
      <c r="F5" s="273"/>
      <c r="G5" s="273"/>
      <c r="H5" s="273"/>
      <c r="I5" s="273"/>
      <c r="J5" s="273"/>
    </row>
    <row r="6" spans="1:15" ht="15" thickBot="1" x14ac:dyDescent="0.2">
      <c r="A6" s="273"/>
      <c r="B6" s="273"/>
      <c r="C6" s="273"/>
      <c r="D6" s="273"/>
      <c r="E6" s="273"/>
      <c r="F6" s="273"/>
      <c r="G6" s="273"/>
      <c r="H6" s="273"/>
      <c r="I6" s="273"/>
      <c r="J6" s="273"/>
    </row>
    <row r="7" spans="1:15" s="283" customFormat="1" ht="19" thickBot="1" x14ac:dyDescent="0.25">
      <c r="A7" s="1351" t="s">
        <v>360</v>
      </c>
      <c r="B7" s="1352"/>
      <c r="C7" s="1352"/>
      <c r="D7" s="1352"/>
      <c r="E7" s="1352"/>
      <c r="F7" s="1353"/>
      <c r="G7" s="1354" t="s">
        <v>187</v>
      </c>
      <c r="H7" s="1355"/>
      <c r="I7" s="1355"/>
      <c r="J7" s="1409"/>
    </row>
    <row r="8" spans="1:15" s="283" customFormat="1" ht="28" x14ac:dyDescent="0.15">
      <c r="A8" s="667" t="s">
        <v>59</v>
      </c>
      <c r="B8" s="668" t="s">
        <v>78</v>
      </c>
      <c r="C8" s="668" t="s">
        <v>79</v>
      </c>
      <c r="D8" s="668" t="s">
        <v>80</v>
      </c>
      <c r="E8" s="668" t="s">
        <v>81</v>
      </c>
      <c r="F8" s="668" t="s">
        <v>82</v>
      </c>
      <c r="G8" s="534" t="s">
        <v>207</v>
      </c>
      <c r="H8" s="534" t="s">
        <v>213</v>
      </c>
      <c r="I8" s="534" t="s">
        <v>212</v>
      </c>
      <c r="J8" s="535">
        <v>0.14000000000000001</v>
      </c>
    </row>
    <row r="9" spans="1:15" s="283" customFormat="1" ht="14" customHeight="1" x14ac:dyDescent="0.15">
      <c r="A9" s="322" t="s">
        <v>260</v>
      </c>
      <c r="B9" s="601">
        <f>'Statens skalatrin'!D46+('3f (Lilleskolerne, DF, DSSV)'!F26/12)</f>
        <v>19942.675568499999</v>
      </c>
      <c r="C9" s="601">
        <f>'Statens skalatrin'!F46+('3f (Lilleskolerne, DF, DSSV)'!F26/12)</f>
        <v>20354.425568499999</v>
      </c>
      <c r="D9" s="601">
        <f>'Statens skalatrin'!H46+('3f (Lilleskolerne, DF, DSSV)'!F26/12)</f>
        <v>20639.505568500001</v>
      </c>
      <c r="E9" s="601">
        <f>'Statens skalatrin'!J46+('3f (Lilleskolerne, DF, DSSV)'!F26/12)</f>
        <v>21051.175568499999</v>
      </c>
      <c r="F9" s="601">
        <f>'Statens skalatrin'!L46+('3f (Lilleskolerne, DF, DSSV)'!F26/12)</f>
        <v>21336.175568499999</v>
      </c>
      <c r="G9" s="425">
        <f>'Statens skalatrin'!O46</f>
        <v>18486.849999999999</v>
      </c>
      <c r="H9" s="425">
        <f>J9*1/3</f>
        <v>862.71966666666674</v>
      </c>
      <c r="I9" s="425">
        <f>J9*2/3</f>
        <v>1725.4393333333335</v>
      </c>
      <c r="J9" s="426">
        <f>G9*$J$8</f>
        <v>2588.1590000000001</v>
      </c>
      <c r="K9" s="286"/>
      <c r="L9" s="282"/>
    </row>
    <row r="10" spans="1:15" s="283" customFormat="1" ht="14" x14ac:dyDescent="0.15">
      <c r="A10" s="322">
        <v>17</v>
      </c>
      <c r="B10" s="601">
        <f>'Statens skalatrin'!D55</f>
        <v>20762.5</v>
      </c>
      <c r="C10" s="601">
        <f>'Statens skalatrin'!F55</f>
        <v>21206.33</v>
      </c>
      <c r="D10" s="601">
        <f>'Statens skalatrin'!H55</f>
        <v>21513.58</v>
      </c>
      <c r="E10" s="601">
        <f>'Statens skalatrin'!J55</f>
        <v>21957.33</v>
      </c>
      <c r="F10" s="601">
        <f>'Statens skalatrin'!L55</f>
        <v>22264.42</v>
      </c>
      <c r="G10" s="425">
        <f>'Statens skalatrin'!O55</f>
        <v>19500.169999999998</v>
      </c>
      <c r="H10" s="425">
        <f>J10*1/3</f>
        <v>910.00793333333331</v>
      </c>
      <c r="I10" s="425">
        <f>J10*2/3</f>
        <v>1820.0158666666666</v>
      </c>
      <c r="J10" s="426">
        <f>G10*$J$8</f>
        <v>2730.0237999999999</v>
      </c>
      <c r="K10" s="286"/>
      <c r="L10" s="282"/>
    </row>
    <row r="11" spans="1:15" s="283" customFormat="1" ht="15" customHeight="1" thickBot="1" x14ac:dyDescent="0.2">
      <c r="A11" s="323" t="s">
        <v>188</v>
      </c>
      <c r="B11" s="602">
        <f>'Statens skalatrin'!D64+('3f (Lilleskolerne, DF, DSSV)'!F27/12)</f>
        <v>21770.376257</v>
      </c>
      <c r="C11" s="602">
        <f>'Statens skalatrin'!F64+('3f (Lilleskolerne, DF, DSSV)'!F27/12)</f>
        <v>22248.706257000002</v>
      </c>
      <c r="D11" s="602">
        <f>'Statens skalatrin'!H64+('3f (Lilleskolerne, DF, DSSV)'!F27/12)</f>
        <v>22580.046256999998</v>
      </c>
      <c r="E11" s="602">
        <f>'Statens skalatrin'!J64+('3f (Lilleskolerne, DF, DSSV)'!F27/12)</f>
        <v>23058.546256999998</v>
      </c>
      <c r="F11" s="602">
        <f>'Statens skalatrin'!L64+('3f (Lilleskolerne, DF, DSSV)'!F27/12)</f>
        <v>23389.706257000002</v>
      </c>
      <c r="G11" s="427">
        <f>'Statens skalatrin'!O64</f>
        <v>20599.57</v>
      </c>
      <c r="H11" s="427">
        <f>J11*1/3</f>
        <v>961.31326666666666</v>
      </c>
      <c r="I11" s="427">
        <f>J11*2/3</f>
        <v>1922.6265333333333</v>
      </c>
      <c r="J11" s="428">
        <f>G11*$J$8</f>
        <v>2883.9398000000001</v>
      </c>
      <c r="K11" s="286"/>
      <c r="L11" s="282"/>
      <c r="O11" s="285"/>
    </row>
    <row r="12" spans="1:15" s="283" customFormat="1" ht="14" x14ac:dyDescent="0.15">
      <c r="B12" s="284"/>
      <c r="C12" s="284"/>
      <c r="D12" s="284"/>
      <c r="E12" s="284"/>
      <c r="F12" s="284"/>
    </row>
    <row r="13" spans="1:15" s="283" customFormat="1" ht="15" thickBot="1" x14ac:dyDescent="0.2">
      <c r="B13" s="284"/>
      <c r="C13" s="284"/>
      <c r="D13" s="284"/>
      <c r="E13" s="284"/>
      <c r="F13" s="284"/>
    </row>
    <row r="14" spans="1:15" s="283" customFormat="1" ht="19" thickBot="1" x14ac:dyDescent="0.25">
      <c r="A14" s="1351" t="s">
        <v>361</v>
      </c>
      <c r="B14" s="1352"/>
      <c r="C14" s="1352"/>
      <c r="D14" s="1352"/>
      <c r="E14" s="1352"/>
      <c r="F14" s="1353"/>
    </row>
    <row r="15" spans="1:15" s="283" customFormat="1" ht="15" customHeight="1" thickBot="1" x14ac:dyDescent="0.2">
      <c r="A15" s="1378" t="s">
        <v>190</v>
      </c>
      <c r="B15" s="1379"/>
      <c r="C15" s="1379"/>
      <c r="D15" s="1379"/>
      <c r="E15" s="1379"/>
      <c r="F15" s="1380"/>
    </row>
    <row r="16" spans="1:15" s="283" customFormat="1" ht="16" customHeight="1" x14ac:dyDescent="0.15">
      <c r="A16" s="536" t="s">
        <v>59</v>
      </c>
      <c r="B16" s="537" t="s">
        <v>78</v>
      </c>
      <c r="C16" s="536" t="s">
        <v>79</v>
      </c>
      <c r="D16" s="537" t="s">
        <v>80</v>
      </c>
      <c r="E16" s="536" t="s">
        <v>81</v>
      </c>
      <c r="F16" s="538" t="s">
        <v>82</v>
      </c>
    </row>
    <row r="17" spans="1:12" s="283" customFormat="1" ht="16" customHeight="1" thickBot="1" x14ac:dyDescent="0.2">
      <c r="A17" s="296" t="s">
        <v>260</v>
      </c>
      <c r="B17" s="603">
        <f>B9*12/1924</f>
        <v>124.3825919033264</v>
      </c>
      <c r="C17" s="604">
        <f>C9*12/1924</f>
        <v>126.95067922141372</v>
      </c>
      <c r="D17" s="603">
        <f>D9*12/1924</f>
        <v>128.72872495945947</v>
      </c>
      <c r="E17" s="604">
        <f>(E9*12)/1924</f>
        <v>131.2963133170478</v>
      </c>
      <c r="F17" s="605">
        <f>(F9*12)/1924</f>
        <v>133.07386009459461</v>
      </c>
      <c r="H17" s="282"/>
      <c r="I17" s="282"/>
      <c r="J17" s="282"/>
      <c r="K17" s="282"/>
      <c r="L17" s="282"/>
    </row>
    <row r="18" spans="1:12" s="283" customFormat="1" ht="16" customHeight="1" x14ac:dyDescent="0.15">
      <c r="A18" s="292"/>
      <c r="B18" s="291"/>
      <c r="C18" s="291"/>
      <c r="D18" s="291"/>
      <c r="E18" s="291"/>
      <c r="F18" s="291"/>
      <c r="H18" s="282"/>
      <c r="I18" s="282"/>
      <c r="J18" s="282"/>
      <c r="K18" s="282"/>
      <c r="L18" s="282"/>
    </row>
    <row r="19" spans="1:12" s="429" customFormat="1" ht="15" thickBot="1" x14ac:dyDescent="0.2">
      <c r="A19" s="292"/>
      <c r="B19" s="291"/>
      <c r="C19" s="291"/>
      <c r="D19" s="291"/>
      <c r="E19" s="291"/>
      <c r="F19" s="291"/>
    </row>
    <row r="20" spans="1:12" ht="20" customHeight="1" x14ac:dyDescent="0.15">
      <c r="A20" s="994" t="s">
        <v>191</v>
      </c>
      <c r="B20" s="995"/>
      <c r="C20" s="995"/>
      <c r="D20" s="995"/>
      <c r="E20" s="995"/>
      <c r="F20" s="995"/>
      <c r="G20" s="995"/>
      <c r="H20" s="995"/>
      <c r="I20" s="996"/>
      <c r="J20" s="273"/>
    </row>
    <row r="21" spans="1:12" ht="20" customHeight="1" thickBot="1" x14ac:dyDescent="0.2">
      <c r="A21" s="1102" t="s">
        <v>381</v>
      </c>
      <c r="B21" s="1103"/>
      <c r="C21" s="1103"/>
      <c r="D21" s="1103"/>
      <c r="E21" s="1103"/>
      <c r="F21" s="1103"/>
      <c r="G21" s="1103"/>
      <c r="H21" s="1103"/>
      <c r="I21" s="1104"/>
      <c r="J21" s="273"/>
    </row>
    <row r="22" spans="1:12" s="283" customFormat="1" ht="30" customHeight="1" thickBot="1" x14ac:dyDescent="0.2">
      <c r="A22" s="1333"/>
      <c r="B22" s="1334"/>
      <c r="C22" s="1334"/>
      <c r="D22" s="1334"/>
      <c r="E22" s="1334"/>
      <c r="F22" s="1334"/>
      <c r="G22" s="1334"/>
      <c r="H22" s="855" t="s">
        <v>436</v>
      </c>
      <c r="I22" s="842" t="s">
        <v>437</v>
      </c>
    </row>
    <row r="23" spans="1:12" s="283" customFormat="1" ht="15" thickBot="1" x14ac:dyDescent="0.2">
      <c r="A23" s="1401"/>
      <c r="B23" s="1402"/>
      <c r="C23" s="1402"/>
      <c r="D23" s="1402"/>
      <c r="E23" s="1402"/>
      <c r="F23" s="1402"/>
      <c r="G23" s="1403"/>
      <c r="H23" s="715">
        <v>40999</v>
      </c>
      <c r="I23" s="860" t="str">
        <f>'Løntabel gældende fra'!D1</f>
        <v>01/04/17</v>
      </c>
    </row>
    <row r="24" spans="1:12" s="283" customFormat="1" ht="17" customHeight="1" x14ac:dyDescent="0.15">
      <c r="A24" s="1407" t="s">
        <v>192</v>
      </c>
      <c r="B24" s="1408"/>
      <c r="C24" s="1408"/>
      <c r="D24" s="1408"/>
      <c r="E24" s="1408"/>
      <c r="F24" s="669"/>
      <c r="G24" s="670" t="s">
        <v>184</v>
      </c>
      <c r="H24" s="195">
        <v>22.32</v>
      </c>
      <c r="I24" s="677">
        <f>H24+(H24*'Løntabel gældende fra'!$D$7%)</f>
        <v>23.267394719999999</v>
      </c>
    </row>
    <row r="25" spans="1:12" s="283" customFormat="1" ht="17" customHeight="1" x14ac:dyDescent="0.15">
      <c r="A25" s="1346" t="s">
        <v>193</v>
      </c>
      <c r="B25" s="1347"/>
      <c r="C25" s="1347"/>
      <c r="D25" s="1347"/>
      <c r="E25" s="1347"/>
      <c r="F25" s="678"/>
      <c r="G25" s="281" t="s">
        <v>184</v>
      </c>
      <c r="H25" s="219">
        <v>39.92</v>
      </c>
      <c r="I25" s="677">
        <f>H25+(H25*'Løntabel gældende fra'!$D$7%)</f>
        <v>41.614444320000004</v>
      </c>
    </row>
    <row r="26" spans="1:12" s="283" customFormat="1" ht="17" customHeight="1" x14ac:dyDescent="0.15">
      <c r="A26" s="1338" t="s">
        <v>194</v>
      </c>
      <c r="B26" s="1339"/>
      <c r="C26" s="1339"/>
      <c r="D26" s="1339"/>
      <c r="E26" s="1339"/>
      <c r="F26" s="1339"/>
      <c r="G26" s="281" t="s">
        <v>184</v>
      </c>
      <c r="H26" s="219">
        <v>39.92</v>
      </c>
      <c r="I26" s="677">
        <f>H26+(H26*'Løntabel gældende fra'!$D$7%)</f>
        <v>41.614444320000004</v>
      </c>
    </row>
    <row r="27" spans="1:12" s="283" customFormat="1" ht="17" customHeight="1" thickBot="1" x14ac:dyDescent="0.2">
      <c r="A27" s="312" t="s">
        <v>183</v>
      </c>
      <c r="B27" s="311"/>
      <c r="C27" s="311"/>
      <c r="D27" s="311"/>
      <c r="E27" s="295"/>
      <c r="F27" s="295"/>
      <c r="G27" s="306" t="s">
        <v>184</v>
      </c>
      <c r="H27" s="196">
        <v>39.92</v>
      </c>
      <c r="I27" s="679">
        <f>H27+(H27*'Løntabel gældende fra'!$D$7%)</f>
        <v>41.614444320000004</v>
      </c>
    </row>
    <row r="28" spans="1:12" s="283" customFormat="1" ht="14" x14ac:dyDescent="0.15">
      <c r="A28" s="273"/>
      <c r="B28" s="273"/>
      <c r="C28" s="273"/>
      <c r="D28" s="273"/>
      <c r="E28" s="273"/>
      <c r="F28" s="274"/>
      <c r="G28" s="273"/>
      <c r="H28" s="274"/>
      <c r="I28" s="273"/>
    </row>
    <row r="29" spans="1:12" s="283" customFormat="1" ht="15" thickBot="1" x14ac:dyDescent="0.2">
      <c r="A29" s="273"/>
      <c r="B29" s="273"/>
      <c r="C29" s="273"/>
      <c r="D29" s="273"/>
      <c r="E29" s="273"/>
      <c r="F29" s="274"/>
      <c r="G29" s="273"/>
      <c r="H29" s="274"/>
      <c r="I29" s="273"/>
    </row>
    <row r="30" spans="1:12" s="283" customFormat="1" ht="18" x14ac:dyDescent="0.15">
      <c r="A30" s="994" t="s">
        <v>195</v>
      </c>
      <c r="B30" s="995"/>
      <c r="C30" s="995"/>
      <c r="D30" s="995"/>
      <c r="E30" s="995"/>
      <c r="F30" s="995"/>
      <c r="G30" s="995"/>
      <c r="H30" s="995"/>
      <c r="I30" s="996"/>
    </row>
    <row r="31" spans="1:12" s="283" customFormat="1" ht="17" thickBot="1" x14ac:dyDescent="0.2">
      <c r="A31" s="1102" t="s">
        <v>373</v>
      </c>
      <c r="B31" s="1103"/>
      <c r="C31" s="1103"/>
      <c r="D31" s="1103"/>
      <c r="E31" s="1103"/>
      <c r="F31" s="1103"/>
      <c r="G31" s="1103"/>
      <c r="H31" s="1103"/>
      <c r="I31" s="1104"/>
    </row>
    <row r="32" spans="1:12" s="283" customFormat="1" ht="29" thickBot="1" x14ac:dyDescent="0.2">
      <c r="A32" s="1399"/>
      <c r="B32" s="1400"/>
      <c r="C32" s="1400"/>
      <c r="D32" s="1400"/>
      <c r="E32" s="1400"/>
      <c r="F32" s="1400"/>
      <c r="G32" s="1406"/>
      <c r="H32" s="855" t="s">
        <v>436</v>
      </c>
      <c r="I32" s="842" t="s">
        <v>437</v>
      </c>
    </row>
    <row r="33" spans="1:9" s="283" customFormat="1" ht="15" thickBot="1" x14ac:dyDescent="0.2">
      <c r="A33" s="1401"/>
      <c r="B33" s="1402"/>
      <c r="C33" s="1402"/>
      <c r="D33" s="1402"/>
      <c r="E33" s="1402"/>
      <c r="F33" s="1402"/>
      <c r="G33" s="1403"/>
      <c r="H33" s="715">
        <v>40999</v>
      </c>
      <c r="I33" s="860" t="str">
        <f>'Løntabel gældende fra'!D1</f>
        <v>01/04/17</v>
      </c>
    </row>
    <row r="34" spans="1:9" s="283" customFormat="1" ht="15" thickBot="1" x14ac:dyDescent="0.2">
      <c r="A34" s="1146" t="s">
        <v>345</v>
      </c>
      <c r="B34" s="1147"/>
      <c r="C34" s="1147"/>
      <c r="D34" s="1147"/>
      <c r="E34" s="1147"/>
      <c r="F34" s="730"/>
      <c r="G34" s="731" t="s">
        <v>184</v>
      </c>
      <c r="H34" s="197">
        <v>6.88</v>
      </c>
      <c r="I34" s="657">
        <f>H34+(H34*'Løntabel gældende fra'!D7%)</f>
        <v>7.1720284799999998</v>
      </c>
    </row>
    <row r="35" spans="1:9" s="283" customFormat="1" ht="14" x14ac:dyDescent="0.15">
      <c r="A35" s="273"/>
      <c r="B35" s="273"/>
      <c r="C35" s="273"/>
      <c r="D35" s="273"/>
      <c r="E35" s="273"/>
      <c r="F35" s="274"/>
      <c r="G35" s="273"/>
      <c r="H35" s="274"/>
      <c r="I35" s="273"/>
    </row>
    <row r="36" spans="1:9" s="283" customFormat="1" ht="15" thickBot="1" x14ac:dyDescent="0.2">
      <c r="A36" s="273"/>
      <c r="B36" s="273"/>
      <c r="C36" s="273"/>
      <c r="D36" s="273"/>
      <c r="E36" s="273"/>
      <c r="F36" s="274"/>
      <c r="G36" s="273"/>
      <c r="H36" s="274"/>
      <c r="I36" s="273"/>
    </row>
    <row r="37" spans="1:9" s="283" customFormat="1" ht="18" x14ac:dyDescent="0.15">
      <c r="A37" s="994" t="s">
        <v>407</v>
      </c>
      <c r="B37" s="995"/>
      <c r="C37" s="995"/>
      <c r="D37" s="995"/>
      <c r="E37" s="995"/>
      <c r="F37" s="995"/>
      <c r="G37" s="995"/>
      <c r="H37" s="995"/>
      <c r="I37" s="996"/>
    </row>
    <row r="38" spans="1:9" s="283" customFormat="1" ht="17" thickBot="1" x14ac:dyDescent="0.2">
      <c r="A38" s="1320" t="s">
        <v>381</v>
      </c>
      <c r="B38" s="1321"/>
      <c r="C38" s="1321"/>
      <c r="D38" s="1321"/>
      <c r="E38" s="1321"/>
      <c r="F38" s="1321"/>
      <c r="G38" s="1321"/>
      <c r="H38" s="1321"/>
      <c r="I38" s="1322"/>
    </row>
    <row r="39" spans="1:9" s="283" customFormat="1" ht="27" customHeight="1" x14ac:dyDescent="0.15">
      <c r="A39" s="1391"/>
      <c r="B39" s="1392"/>
      <c r="C39" s="1392"/>
      <c r="D39" s="1392"/>
      <c r="E39" s="1392"/>
      <c r="F39" s="1392"/>
      <c r="G39" s="1393"/>
      <c r="H39" s="853" t="s">
        <v>141</v>
      </c>
      <c r="I39" s="841" t="s">
        <v>435</v>
      </c>
    </row>
    <row r="40" spans="1:9" s="283" customFormat="1" ht="15" thickBot="1" x14ac:dyDescent="0.2">
      <c r="A40" s="1394"/>
      <c r="B40" s="1395"/>
      <c r="C40" s="1395"/>
      <c r="D40" s="1395"/>
      <c r="E40" s="1395"/>
      <c r="F40" s="1395"/>
      <c r="G40" s="1396"/>
      <c r="H40" s="715">
        <v>40999</v>
      </c>
      <c r="I40" s="860" t="str">
        <f>'Løntabel gældende fra'!D1</f>
        <v>01/04/17</v>
      </c>
    </row>
    <row r="41" spans="1:9" s="283" customFormat="1" ht="15" thickBot="1" x14ac:dyDescent="0.2">
      <c r="A41" s="1146" t="s">
        <v>346</v>
      </c>
      <c r="B41" s="1147"/>
      <c r="C41" s="1147"/>
      <c r="D41" s="1147"/>
      <c r="E41" s="1147"/>
      <c r="F41" s="730"/>
      <c r="G41" s="731"/>
      <c r="H41" s="197">
        <v>655</v>
      </c>
      <c r="I41" s="657">
        <f>H41+(H41*'Løntabel gældende fra'!D7%)</f>
        <v>682.80213000000003</v>
      </c>
    </row>
    <row r="42" spans="1:9" s="283" customFormat="1" ht="14" x14ac:dyDescent="0.15">
      <c r="A42" s="273"/>
      <c r="B42" s="273"/>
      <c r="C42" s="273"/>
      <c r="D42" s="273"/>
      <c r="E42" s="273"/>
      <c r="F42" s="274"/>
      <c r="G42" s="273"/>
      <c r="H42" s="274"/>
      <c r="I42" s="273"/>
    </row>
    <row r="43" spans="1:9" s="283" customFormat="1" ht="15" thickBot="1" x14ac:dyDescent="0.2">
      <c r="A43" s="273"/>
      <c r="B43" s="273"/>
      <c r="C43" s="273"/>
      <c r="D43" s="273"/>
      <c r="E43" s="273"/>
      <c r="F43" s="274"/>
      <c r="G43" s="273"/>
      <c r="H43" s="274"/>
      <c r="I43" s="273"/>
    </row>
    <row r="44" spans="1:9" s="283" customFormat="1" ht="18" x14ac:dyDescent="0.15">
      <c r="A44" s="994" t="s">
        <v>406</v>
      </c>
      <c r="B44" s="995"/>
      <c r="C44" s="995"/>
      <c r="D44" s="995"/>
      <c r="E44" s="995"/>
      <c r="F44" s="995"/>
      <c r="G44" s="995"/>
      <c r="H44" s="995"/>
      <c r="I44" s="996"/>
    </row>
    <row r="45" spans="1:9" s="283" customFormat="1" ht="17" thickBot="1" x14ac:dyDescent="0.2">
      <c r="A45" s="1320" t="s">
        <v>373</v>
      </c>
      <c r="B45" s="1321"/>
      <c r="C45" s="1321"/>
      <c r="D45" s="1321"/>
      <c r="E45" s="1321"/>
      <c r="F45" s="1321"/>
      <c r="G45" s="1321"/>
      <c r="H45" s="1321"/>
      <c r="I45" s="1322"/>
    </row>
    <row r="46" spans="1:9" s="283" customFormat="1" ht="28" x14ac:dyDescent="0.15">
      <c r="A46" s="1143"/>
      <c r="B46" s="1144"/>
      <c r="C46" s="1144"/>
      <c r="D46" s="1144"/>
      <c r="E46" s="1144"/>
      <c r="F46" s="1144"/>
      <c r="G46" s="1145"/>
      <c r="H46" s="853" t="s">
        <v>141</v>
      </c>
      <c r="I46" s="841" t="s">
        <v>435</v>
      </c>
    </row>
    <row r="47" spans="1:9" s="283" customFormat="1" ht="15" thickBot="1" x14ac:dyDescent="0.2">
      <c r="A47" s="1383"/>
      <c r="B47" s="1384"/>
      <c r="C47" s="1384"/>
      <c r="D47" s="1384"/>
      <c r="E47" s="1384"/>
      <c r="F47" s="1384"/>
      <c r="G47" s="1404"/>
      <c r="H47" s="715">
        <v>40999</v>
      </c>
      <c r="I47" s="860" t="str">
        <f>'Løntabel gældende fra'!D1</f>
        <v>01/04/17</v>
      </c>
    </row>
    <row r="48" spans="1:9" s="283" customFormat="1" ht="15" thickBot="1" x14ac:dyDescent="0.2">
      <c r="A48" s="1146" t="s">
        <v>205</v>
      </c>
      <c r="B48" s="1147"/>
      <c r="C48" s="1147"/>
      <c r="D48" s="1147"/>
      <c r="E48" s="1147"/>
      <c r="F48" s="730"/>
      <c r="G48" s="731"/>
      <c r="H48" s="197">
        <v>10500</v>
      </c>
      <c r="I48" s="657">
        <f>H48+(H48*'Løntabel gældende fra'!D7%)</f>
        <v>10945.683000000001</v>
      </c>
    </row>
    <row r="49" spans="1:10" s="283" customFormat="1" ht="14" x14ac:dyDescent="0.15"/>
    <row r="50" spans="1:10" s="283" customFormat="1" ht="15" thickBot="1" x14ac:dyDescent="0.2"/>
    <row r="51" spans="1:10" s="283" customFormat="1" ht="18" x14ac:dyDescent="0.15">
      <c r="A51" s="994" t="s">
        <v>405</v>
      </c>
      <c r="B51" s="995"/>
      <c r="C51" s="995"/>
      <c r="D51" s="995"/>
      <c r="E51" s="995"/>
      <c r="F51" s="995"/>
      <c r="G51" s="995"/>
      <c r="H51" s="995"/>
      <c r="I51" s="996"/>
    </row>
    <row r="52" spans="1:10" s="283" customFormat="1" ht="17" thickBot="1" x14ac:dyDescent="0.2">
      <c r="A52" s="1102" t="s">
        <v>373</v>
      </c>
      <c r="B52" s="1103"/>
      <c r="C52" s="1103"/>
      <c r="D52" s="1103"/>
      <c r="E52" s="1103"/>
      <c r="F52" s="1103"/>
      <c r="G52" s="1103"/>
      <c r="H52" s="1103"/>
      <c r="I52" s="1104"/>
    </row>
    <row r="53" spans="1:10" s="283" customFormat="1" ht="14" x14ac:dyDescent="0.15">
      <c r="A53" s="1383" t="s">
        <v>354</v>
      </c>
      <c r="B53" s="1384"/>
      <c r="C53" s="1384"/>
      <c r="D53" s="1384"/>
      <c r="E53" s="1384"/>
      <c r="F53" s="1384"/>
      <c r="G53" s="1404"/>
      <c r="H53" s="725" t="s">
        <v>102</v>
      </c>
      <c r="I53" s="727" t="s">
        <v>107</v>
      </c>
    </row>
    <row r="54" spans="1:10" s="283" customFormat="1" ht="15" thickBot="1" x14ac:dyDescent="0.2">
      <c r="A54" s="1328"/>
      <c r="B54" s="1329"/>
      <c r="C54" s="1329"/>
      <c r="D54" s="1329"/>
      <c r="E54" s="1329"/>
      <c r="F54" s="1329"/>
      <c r="G54" s="1330"/>
      <c r="H54" s="728">
        <v>40999</v>
      </c>
      <c r="I54" s="860" t="str">
        <f>'Løntabel gældende fra'!D1</f>
        <v>01/04/17</v>
      </c>
    </row>
    <row r="55" spans="1:10" s="283" customFormat="1" ht="15" thickBot="1" x14ac:dyDescent="0.2">
      <c r="A55" s="1331" t="s">
        <v>355</v>
      </c>
      <c r="B55" s="1332"/>
      <c r="C55" s="1332"/>
      <c r="D55" s="1332"/>
      <c r="E55" s="1332"/>
      <c r="F55" s="279"/>
      <c r="G55" s="290"/>
      <c r="H55" s="349">
        <v>0</v>
      </c>
      <c r="I55" s="342">
        <f>H55+H55*'[2]Løntabel gældende fra'!$D$7%</f>
        <v>0</v>
      </c>
    </row>
    <row r="56" spans="1:10" s="283" customFormat="1" ht="14" x14ac:dyDescent="0.15"/>
    <row r="57" spans="1:10" s="283" customFormat="1" ht="14" x14ac:dyDescent="0.15">
      <c r="A57" s="1405"/>
      <c r="B57" s="1405"/>
      <c r="C57" s="1405"/>
      <c r="D57" s="1405"/>
      <c r="E57" s="1405"/>
      <c r="F57" s="1405"/>
      <c r="G57" s="1405"/>
      <c r="H57" s="1405"/>
      <c r="I57" s="1405"/>
      <c r="J57" s="1405"/>
    </row>
    <row r="58" spans="1:10" s="283" customFormat="1" ht="14" x14ac:dyDescent="0.15">
      <c r="A58" s="658"/>
    </row>
    <row r="59" spans="1:10" s="283" customFormat="1" ht="14" x14ac:dyDescent="0.15"/>
    <row r="60" spans="1:10" s="283" customFormat="1" ht="14" x14ac:dyDescent="0.15"/>
    <row r="61" spans="1:10" s="283" customFormat="1" ht="14" x14ac:dyDescent="0.15"/>
    <row r="62" spans="1:10" s="283" customFormat="1" ht="14" x14ac:dyDescent="0.15"/>
    <row r="72" s="283" customFormat="1" ht="14" x14ac:dyDescent="0.15"/>
    <row r="73" s="283" customFormat="1" ht="14" x14ac:dyDescent="0.15"/>
    <row r="74" s="283" customFormat="1" ht="14" x14ac:dyDescent="0.15"/>
    <row r="75" s="283" customFormat="1" ht="14" x14ac:dyDescent="0.15"/>
    <row r="76" s="283" customFormat="1" ht="14" x14ac:dyDescent="0.15"/>
    <row r="77" s="283" customFormat="1" ht="14" x14ac:dyDescent="0.15"/>
    <row r="78" s="283" customFormat="1" ht="14" x14ac:dyDescent="0.15"/>
    <row r="79" s="283" customFormat="1" ht="14" x14ac:dyDescent="0.15"/>
    <row r="80" s="283" customFormat="1" ht="14" x14ac:dyDescent="0.15"/>
    <row r="81" s="283" customFormat="1" ht="14" x14ac:dyDescent="0.15"/>
    <row r="82" s="283" customFormat="1" ht="14" x14ac:dyDescent="0.15"/>
    <row r="83" s="283" customFormat="1" ht="14" x14ac:dyDescent="0.15"/>
    <row r="84" s="283" customFormat="1" ht="14" x14ac:dyDescent="0.15"/>
    <row r="85" s="283" customFormat="1" ht="14" x14ac:dyDescent="0.15"/>
    <row r="86" s="283" customFormat="1" ht="14" x14ac:dyDescent="0.15"/>
    <row r="87" s="283" customFormat="1" ht="14" x14ac:dyDescent="0.15"/>
    <row r="88" s="283" customFormat="1" ht="14" x14ac:dyDescent="0.15"/>
    <row r="89" s="283" customFormat="1" ht="14" x14ac:dyDescent="0.15"/>
    <row r="90" s="283" customFormat="1" ht="14" x14ac:dyDescent="0.15"/>
    <row r="91" s="283" customFormat="1" ht="14" x14ac:dyDescent="0.15"/>
    <row r="92" s="283" customFormat="1" ht="14" x14ac:dyDescent="0.15"/>
    <row r="93" s="283" customFormat="1" ht="14" x14ac:dyDescent="0.15"/>
    <row r="94" s="283" customFormat="1" ht="14" x14ac:dyDescent="0.15"/>
    <row r="95" s="283" customFormat="1" ht="14" x14ac:dyDescent="0.15"/>
    <row r="96" s="283" customFormat="1" ht="14" x14ac:dyDescent="0.15"/>
    <row r="97" s="283" customFormat="1" ht="14" x14ac:dyDescent="0.15"/>
    <row r="98" s="283" customFormat="1" ht="14" x14ac:dyDescent="0.15"/>
    <row r="99" s="283" customFormat="1" ht="14" x14ac:dyDescent="0.15"/>
    <row r="100" s="283" customFormat="1" ht="14" x14ac:dyDescent="0.15"/>
    <row r="101" s="283" customFormat="1" ht="14" x14ac:dyDescent="0.15"/>
    <row r="102" s="283" customFormat="1" ht="14" x14ac:dyDescent="0.15"/>
    <row r="103" s="283" customFormat="1" ht="14" x14ac:dyDescent="0.15"/>
    <row r="104" s="283" customFormat="1" ht="14" x14ac:dyDescent="0.15"/>
    <row r="105" s="283" customFormat="1" ht="14" x14ac:dyDescent="0.15"/>
    <row r="106" s="283" customFormat="1" ht="14" x14ac:dyDescent="0.15"/>
    <row r="107" s="283" customFormat="1" ht="14" x14ac:dyDescent="0.15"/>
    <row r="108" s="283" customFormat="1" ht="14" x14ac:dyDescent="0.15"/>
    <row r="109" s="283" customFormat="1" ht="14" x14ac:dyDescent="0.15"/>
    <row r="110" s="283" customFormat="1" ht="14" x14ac:dyDescent="0.15"/>
    <row r="111" s="283" customFormat="1" ht="14" x14ac:dyDescent="0.15"/>
    <row r="112" s="283" customFormat="1" ht="14" x14ac:dyDescent="0.15"/>
    <row r="113" s="283" customFormat="1" ht="14" x14ac:dyDescent="0.15"/>
    <row r="114" s="283" customFormat="1" ht="14" x14ac:dyDescent="0.15"/>
    <row r="115" s="283" customFormat="1" ht="14" x14ac:dyDescent="0.15"/>
    <row r="116" s="283" customFormat="1" ht="14" x14ac:dyDescent="0.15"/>
    <row r="117" s="283" customFormat="1" ht="14" x14ac:dyDescent="0.15"/>
    <row r="118" s="283" customFormat="1" ht="14" x14ac:dyDescent="0.15"/>
    <row r="119" s="283" customFormat="1" ht="14" x14ac:dyDescent="0.15"/>
    <row r="120" s="283" customFormat="1" ht="14" x14ac:dyDescent="0.15"/>
    <row r="121" s="283" customFormat="1" ht="14" x14ac:dyDescent="0.15"/>
    <row r="122" s="283" customFormat="1" ht="14" x14ac:dyDescent="0.15"/>
    <row r="123" s="283" customFormat="1" ht="14" x14ac:dyDescent="0.15"/>
    <row r="124" s="283" customFormat="1" ht="14" x14ac:dyDescent="0.15"/>
    <row r="125" s="283" customFormat="1" ht="14" x14ac:dyDescent="0.15"/>
    <row r="126" s="283" customFormat="1" ht="14" x14ac:dyDescent="0.15"/>
    <row r="127" s="283" customFormat="1" ht="14" x14ac:dyDescent="0.15"/>
    <row r="128" s="283" customFormat="1" ht="14" x14ac:dyDescent="0.15"/>
    <row r="129" s="283" customFormat="1" ht="14" x14ac:dyDescent="0.15"/>
    <row r="130" s="283" customFormat="1" ht="14" x14ac:dyDescent="0.15"/>
    <row r="131" s="283" customFormat="1" ht="14" x14ac:dyDescent="0.15"/>
    <row r="132" s="283" customFormat="1" ht="14" x14ac:dyDescent="0.15"/>
    <row r="133" s="283" customFormat="1" ht="14" x14ac:dyDescent="0.15"/>
    <row r="134" s="283" customFormat="1" ht="14" x14ac:dyDescent="0.15"/>
    <row r="135" s="283" customFormat="1" ht="14" x14ac:dyDescent="0.15"/>
    <row r="136" s="283" customFormat="1" ht="14" x14ac:dyDescent="0.15"/>
    <row r="137" s="283" customFormat="1" ht="14" x14ac:dyDescent="0.15"/>
    <row r="138" s="283" customFormat="1" ht="14" x14ac:dyDescent="0.15"/>
    <row r="139" s="283" customFormat="1" ht="14" x14ac:dyDescent="0.15"/>
    <row r="140" s="283" customFormat="1" ht="14" x14ac:dyDescent="0.15"/>
    <row r="141" s="283" customFormat="1" ht="14" x14ac:dyDescent="0.15"/>
    <row r="142" s="283" customFormat="1" ht="14" x14ac:dyDescent="0.15"/>
    <row r="143" s="283" customFormat="1" ht="14" x14ac:dyDescent="0.15"/>
    <row r="144" s="283" customFormat="1" ht="14" x14ac:dyDescent="0.15"/>
    <row r="145" s="283" customFormat="1" ht="14" x14ac:dyDescent="0.15"/>
    <row r="146" s="283" customFormat="1" ht="14" x14ac:dyDescent="0.15"/>
    <row r="147" s="283" customFormat="1" ht="14" x14ac:dyDescent="0.15"/>
    <row r="148" s="283" customFormat="1" ht="14" x14ac:dyDescent="0.15"/>
    <row r="149" s="283" customFormat="1" ht="14" x14ac:dyDescent="0.15"/>
    <row r="150" s="283" customFormat="1" ht="14" x14ac:dyDescent="0.15"/>
    <row r="151" s="283" customFormat="1" ht="14" x14ac:dyDescent="0.15"/>
    <row r="152" s="283" customFormat="1" ht="14" x14ac:dyDescent="0.15"/>
    <row r="153" s="283" customFormat="1" ht="14" x14ac:dyDescent="0.15"/>
  </sheetData>
  <sheetProtection sheet="1" objects="1" scenarios="1"/>
  <mergeCells count="31">
    <mergeCell ref="G7:J7"/>
    <mergeCell ref="A7:F7"/>
    <mergeCell ref="A1:J1"/>
    <mergeCell ref="A2:J2"/>
    <mergeCell ref="A3:J3"/>
    <mergeCell ref="A4:J4"/>
    <mergeCell ref="A31:I31"/>
    <mergeCell ref="A38:I38"/>
    <mergeCell ref="A14:F14"/>
    <mergeCell ref="A24:E24"/>
    <mergeCell ref="A22:G23"/>
    <mergeCell ref="A25:E25"/>
    <mergeCell ref="A15:F15"/>
    <mergeCell ref="A20:I20"/>
    <mergeCell ref="A21:I21"/>
    <mergeCell ref="A45:I45"/>
    <mergeCell ref="A52:I52"/>
    <mergeCell ref="A57:J57"/>
    <mergeCell ref="A26:F26"/>
    <mergeCell ref="A37:I37"/>
    <mergeCell ref="A39:G40"/>
    <mergeCell ref="A41:E41"/>
    <mergeCell ref="A44:I44"/>
    <mergeCell ref="A46:G47"/>
    <mergeCell ref="A48:E48"/>
    <mergeCell ref="A30:I30"/>
    <mergeCell ref="A32:G33"/>
    <mergeCell ref="A34:E34"/>
    <mergeCell ref="A51:I51"/>
    <mergeCell ref="A53:G54"/>
    <mergeCell ref="A55:E55"/>
  </mergeCells>
  <phoneticPr fontId="6" type="noConversion"/>
  <pageMargins left="0.71" right="0.71" top="0.75" bottom="0.75" header="0.31" footer="0.31"/>
  <pageSetup paperSize="9" scale="64" orientation="portrait" r:id="rId1"/>
  <headerFooter>
    <oddFooter>&amp;C&amp;"Calibri,Normal"&amp;8&amp;K000000Løntabel 3F&amp;R&amp;"Calibri,Normal"&amp;8&amp;K000000&amp;P af i alt &amp;N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7"/>
  <sheetViews>
    <sheetView view="pageBreakPreview" workbookViewId="0">
      <selection activeCell="C24" sqref="C24"/>
    </sheetView>
  </sheetViews>
  <sheetFormatPr baseColWidth="10" defaultColWidth="8.83203125" defaultRowHeight="13" x14ac:dyDescent="0.15"/>
  <cols>
    <col min="1" max="1" width="13.33203125" style="253" customWidth="1"/>
    <col min="2" max="2" width="17.33203125" style="253" customWidth="1"/>
    <col min="3" max="3" width="16.33203125" style="253" customWidth="1"/>
    <col min="4" max="4" width="16.1640625" style="254" customWidth="1"/>
    <col min="5" max="5" width="17.33203125" style="253" customWidth="1"/>
    <col min="6" max="6" width="16.33203125" style="255" customWidth="1"/>
    <col min="7" max="7" width="0.33203125" style="255" customWidth="1"/>
    <col min="8" max="8" width="10.6640625" style="253" customWidth="1"/>
    <col min="9" max="16384" width="8.83203125" style="253"/>
  </cols>
  <sheetData>
    <row r="1" spans="1:9" s="2" customFormat="1" ht="22" customHeight="1" x14ac:dyDescent="0.2">
      <c r="A1" s="1057" t="s">
        <v>20</v>
      </c>
      <c r="B1" s="1058"/>
      <c r="C1" s="1058"/>
      <c r="D1" s="1058"/>
      <c r="E1" s="1058"/>
      <c r="F1" s="1058"/>
      <c r="G1" s="1059"/>
      <c r="H1" s="497"/>
      <c r="I1" s="44"/>
    </row>
    <row r="2" spans="1:9" s="2" customFormat="1" ht="22" customHeight="1" x14ac:dyDescent="0.2">
      <c r="A2" s="1072" t="s">
        <v>408</v>
      </c>
      <c r="B2" s="1073"/>
      <c r="C2" s="1073"/>
      <c r="D2" s="1073"/>
      <c r="E2" s="1073"/>
      <c r="F2" s="1073"/>
      <c r="G2" s="692"/>
      <c r="H2" s="497"/>
      <c r="I2" s="44"/>
    </row>
    <row r="3" spans="1:9" s="733" customFormat="1" ht="25" customHeight="1" x14ac:dyDescent="0.2">
      <c r="A3" s="1072" t="str">
        <f>'Forside 1'!A6:I6</f>
        <v>Gældende for perioden: 1. april 2017 til 30. november 2017</v>
      </c>
      <c r="B3" s="1073"/>
      <c r="C3" s="1073"/>
      <c r="D3" s="1073"/>
      <c r="E3" s="1073"/>
      <c r="F3" s="1073"/>
      <c r="G3" s="1074"/>
      <c r="H3" s="732"/>
    </row>
    <row r="4" spans="1:9" s="2" customFormat="1" ht="35" customHeight="1" thickBot="1" x14ac:dyDescent="0.25">
      <c r="A4" s="1415" t="s">
        <v>409</v>
      </c>
      <c r="B4" s="1416"/>
      <c r="C4" s="1416"/>
      <c r="D4" s="1416"/>
      <c r="E4" s="1416"/>
      <c r="F4" s="1416"/>
      <c r="G4" s="1417"/>
      <c r="H4" s="497"/>
    </row>
    <row r="5" spans="1:9" ht="21" thickBot="1" x14ac:dyDescent="0.25">
      <c r="A5" s="1364"/>
      <c r="B5" s="1364"/>
      <c r="C5" s="1364"/>
      <c r="D5" s="1364"/>
      <c r="E5" s="1364"/>
      <c r="F5" s="1364"/>
      <c r="G5" s="1364"/>
    </row>
    <row r="6" spans="1:9" ht="19" customHeight="1" x14ac:dyDescent="0.15">
      <c r="A6" s="994" t="s">
        <v>411</v>
      </c>
      <c r="B6" s="995"/>
      <c r="C6" s="995"/>
      <c r="D6" s="995"/>
      <c r="E6" s="995"/>
      <c r="F6" s="996"/>
      <c r="G6" s="563"/>
    </row>
    <row r="7" spans="1:9" ht="19" customHeight="1" thickBot="1" x14ac:dyDescent="0.2">
      <c r="A7" s="1419" t="s">
        <v>410</v>
      </c>
      <c r="B7" s="1420"/>
      <c r="C7" s="1420"/>
      <c r="D7" s="1420"/>
      <c r="E7" s="1420"/>
      <c r="F7" s="1421"/>
      <c r="G7" s="563"/>
    </row>
    <row r="8" spans="1:9" ht="34" customHeight="1" x14ac:dyDescent="0.2">
      <c r="A8" s="1413" t="s">
        <v>151</v>
      </c>
      <c r="B8" s="1413" t="s">
        <v>98</v>
      </c>
      <c r="C8" s="769" t="s">
        <v>141</v>
      </c>
      <c r="D8" s="847" t="s">
        <v>435</v>
      </c>
      <c r="E8" s="847" t="s">
        <v>321</v>
      </c>
      <c r="F8" s="856" t="s">
        <v>152</v>
      </c>
    </row>
    <row r="9" spans="1:9" ht="16" customHeight="1" thickBot="1" x14ac:dyDescent="0.25">
      <c r="A9" s="1414"/>
      <c r="B9" s="1414"/>
      <c r="C9" s="770">
        <v>40999</v>
      </c>
      <c r="D9" s="861" t="str">
        <f>'Løntabel gældende fra'!D1</f>
        <v>01/04/17</v>
      </c>
      <c r="E9" s="861" t="str">
        <f>'Løntabel gældende fra'!D1</f>
        <v>01/04/17</v>
      </c>
      <c r="F9" s="861" t="str">
        <f>'Løntabel gældende fra'!D1</f>
        <v>01/04/17</v>
      </c>
    </row>
    <row r="10" spans="1:9" ht="15" customHeight="1" x14ac:dyDescent="0.2">
      <c r="A10" s="734">
        <v>1</v>
      </c>
      <c r="B10" s="734" t="s">
        <v>154</v>
      </c>
      <c r="C10" s="735">
        <f>12*22670</f>
        <v>272040</v>
      </c>
      <c r="D10" s="736">
        <f>C10+(C10*'Løntabel gældende fra'!$D$7%)</f>
        <v>283587.00984000001</v>
      </c>
      <c r="E10" s="737">
        <f>D10/12</f>
        <v>23632.250820000001</v>
      </c>
      <c r="F10" s="738">
        <f>(E10*12)/1924*1</f>
        <v>147.39449575883577</v>
      </c>
    </row>
    <row r="11" spans="1:9" ht="15" customHeight="1" x14ac:dyDescent="0.2">
      <c r="A11" s="747">
        <v>2</v>
      </c>
      <c r="B11" s="747" t="s">
        <v>162</v>
      </c>
      <c r="C11" s="748">
        <f>25300*12</f>
        <v>303600</v>
      </c>
      <c r="D11" s="736">
        <f>C11+(C11*'Løntabel gældende fra'!$D$7%)</f>
        <v>316486.60560000001</v>
      </c>
      <c r="E11" s="749">
        <f>D11/12</f>
        <v>26373.8838</v>
      </c>
      <c r="F11" s="738">
        <f>(E11*12)/1924*1</f>
        <v>164.49407775467776</v>
      </c>
    </row>
    <row r="12" spans="1:9" ht="15" customHeight="1" x14ac:dyDescent="0.2">
      <c r="A12" s="750">
        <v>3</v>
      </c>
      <c r="B12" s="750" t="s">
        <v>155</v>
      </c>
      <c r="C12" s="751">
        <f>27920*12</f>
        <v>335040</v>
      </c>
      <c r="D12" s="736">
        <f>C12+(C12*'Løntabel gældende fra'!$D$7%)</f>
        <v>349261.10784000001</v>
      </c>
      <c r="E12" s="749">
        <f>D12/12</f>
        <v>29105.09232</v>
      </c>
      <c r="F12" s="738">
        <f>(E12*12)/1924*1</f>
        <v>181.52864232848233</v>
      </c>
    </row>
    <row r="13" spans="1:9" ht="15" customHeight="1" thickBot="1" x14ac:dyDescent="0.25">
      <c r="A13" s="752">
        <v>4</v>
      </c>
      <c r="B13" s="752" t="s">
        <v>163</v>
      </c>
      <c r="C13" s="753">
        <f>29400*12</f>
        <v>352800</v>
      </c>
      <c r="D13" s="736">
        <f>C13+(C13*'Løntabel gældende fra'!$D$7%)</f>
        <v>367774.94880000001</v>
      </c>
      <c r="E13" s="745">
        <f>D13/12</f>
        <v>30647.912400000001</v>
      </c>
      <c r="F13" s="746">
        <f>(E13*12)/1924*1</f>
        <v>191.1512207900208</v>
      </c>
    </row>
    <row r="14" spans="1:9" ht="14" thickBot="1" x14ac:dyDescent="0.2"/>
    <row r="15" spans="1:9" ht="30" customHeight="1" thickBot="1" x14ac:dyDescent="0.2">
      <c r="A15" s="1007" t="s">
        <v>165</v>
      </c>
      <c r="B15" s="1008"/>
      <c r="C15" s="1008"/>
      <c r="D15" s="1008"/>
      <c r="E15" s="1009"/>
      <c r="F15" s="245"/>
    </row>
    <row r="16" spans="1:9" ht="32" customHeight="1" x14ac:dyDescent="0.2">
      <c r="A16" s="1413" t="s">
        <v>151</v>
      </c>
      <c r="B16" s="769" t="s">
        <v>141</v>
      </c>
      <c r="C16" s="847" t="s">
        <v>435</v>
      </c>
      <c r="D16" s="847" t="s">
        <v>321</v>
      </c>
      <c r="E16" s="856" t="s">
        <v>152</v>
      </c>
      <c r="F16" s="45"/>
    </row>
    <row r="17" spans="1:8" ht="16" customHeight="1" thickBot="1" x14ac:dyDescent="0.25">
      <c r="A17" s="1414"/>
      <c r="B17" s="770">
        <v>40999</v>
      </c>
      <c r="C17" s="861" t="str">
        <f>'Løntabel gældende fra'!D1</f>
        <v>01/04/17</v>
      </c>
      <c r="D17" s="861" t="str">
        <f>'Løntabel gældende fra'!D1</f>
        <v>01/04/17</v>
      </c>
      <c r="E17" s="861" t="str">
        <f>'Løntabel gældende fra'!D1</f>
        <v>01/04/17</v>
      </c>
      <c r="F17" s="45"/>
    </row>
    <row r="18" spans="1:8" s="741" customFormat="1" ht="15" customHeight="1" x14ac:dyDescent="0.2">
      <c r="A18" s="734" t="s">
        <v>156</v>
      </c>
      <c r="B18" s="735">
        <f>12*13140</f>
        <v>157680</v>
      </c>
      <c r="C18" s="736">
        <f>B18+(B18*'Løntabel gældende fra'!$D$7%)</f>
        <v>164372.88527999999</v>
      </c>
      <c r="D18" s="737">
        <f>C18/12</f>
        <v>13697.74044</v>
      </c>
      <c r="E18" s="738">
        <f>(D18*12)/1924*1</f>
        <v>85.432892557172551</v>
      </c>
      <c r="F18" s="739"/>
      <c r="G18" s="740"/>
    </row>
    <row r="19" spans="1:8" s="741" customFormat="1" ht="15" customHeight="1" thickBot="1" x14ac:dyDescent="0.25">
      <c r="A19" s="742" t="s">
        <v>157</v>
      </c>
      <c r="B19" s="743">
        <f>12*13800</f>
        <v>165600</v>
      </c>
      <c r="C19" s="744">
        <f>B19+(B19*'Løntabel gældende fra'!$D$7%)</f>
        <v>172629.0576</v>
      </c>
      <c r="D19" s="745">
        <f>C19/12</f>
        <v>14385.754800000001</v>
      </c>
      <c r="E19" s="746">
        <f>(D19*12)/1924*1</f>
        <v>89.724042411642415</v>
      </c>
      <c r="F19" s="739"/>
      <c r="G19" s="740"/>
    </row>
    <row r="20" spans="1:8" ht="14" thickBot="1" x14ac:dyDescent="0.2"/>
    <row r="21" spans="1:8" ht="30" customHeight="1" thickBot="1" x14ac:dyDescent="0.2">
      <c r="A21" s="1007" t="s">
        <v>166</v>
      </c>
      <c r="B21" s="1008"/>
      <c r="C21" s="1008"/>
      <c r="D21" s="1008"/>
      <c r="E21" s="1009"/>
    </row>
    <row r="22" spans="1:8" ht="30" customHeight="1" x14ac:dyDescent="0.2">
      <c r="A22" s="1413" t="s">
        <v>151</v>
      </c>
      <c r="B22" s="769" t="s">
        <v>141</v>
      </c>
      <c r="C22" s="847" t="s">
        <v>435</v>
      </c>
      <c r="D22" s="847" t="s">
        <v>321</v>
      </c>
      <c r="E22" s="856" t="s">
        <v>152</v>
      </c>
    </row>
    <row r="23" spans="1:8" ht="16" customHeight="1" thickBot="1" x14ac:dyDescent="0.25">
      <c r="A23" s="1414"/>
      <c r="B23" s="770">
        <v>40999</v>
      </c>
      <c r="C23" s="861" t="str">
        <f>'Løntabel gældende fra'!D1</f>
        <v>01/04/17</v>
      </c>
      <c r="D23" s="861" t="str">
        <f>'Løntabel gældende fra'!D1</f>
        <v>01/04/17</v>
      </c>
      <c r="E23" s="861" t="str">
        <f>'Løntabel gældende fra'!D1</f>
        <v>01/04/17</v>
      </c>
    </row>
    <row r="24" spans="1:8" s="494" customFormat="1" ht="20" customHeight="1" thickBot="1" x14ac:dyDescent="0.25">
      <c r="A24" s="772" t="s">
        <v>156</v>
      </c>
      <c r="B24" s="773">
        <f>12*18700</f>
        <v>224400</v>
      </c>
      <c r="C24" s="774">
        <f>B24+(B24*'Løntabel gældende fra'!$D$7%)</f>
        <v>233924.8824</v>
      </c>
      <c r="D24" s="775">
        <f>C24/12</f>
        <v>19493.7402</v>
      </c>
      <c r="E24" s="746">
        <f>(D24*12)/1924*1</f>
        <v>121.58257920997922</v>
      </c>
      <c r="F24" s="254"/>
      <c r="G24" s="254"/>
    </row>
    <row r="25" spans="1:8" ht="19" thickBot="1" x14ac:dyDescent="0.2">
      <c r="A25" s="45"/>
      <c r="B25" s="308"/>
      <c r="C25" s="308"/>
      <c r="D25" s="308"/>
      <c r="E25" s="259"/>
      <c r="F25" s="495"/>
      <c r="G25" s="495"/>
      <c r="H25" s="245"/>
    </row>
    <row r="26" spans="1:8" ht="31" customHeight="1" thickBot="1" x14ac:dyDescent="0.2">
      <c r="A26" s="1007" t="s">
        <v>168</v>
      </c>
      <c r="B26" s="1008"/>
      <c r="C26" s="1008"/>
      <c r="D26" s="1008"/>
      <c r="E26" s="1009"/>
      <c r="F26" s="245"/>
      <c r="G26" s="245"/>
      <c r="H26" s="509"/>
    </row>
    <row r="27" spans="1:8" ht="45" customHeight="1" thickBot="1" x14ac:dyDescent="0.2">
      <c r="A27" s="1248" t="s">
        <v>151</v>
      </c>
      <c r="B27" s="1413" t="s">
        <v>438</v>
      </c>
      <c r="C27" s="763" t="s">
        <v>262</v>
      </c>
      <c r="D27" s="764">
        <v>0.17299999999999999</v>
      </c>
      <c r="E27" s="765"/>
      <c r="F27" s="505"/>
      <c r="G27" s="508"/>
      <c r="H27" s="510"/>
    </row>
    <row r="28" spans="1:8" ht="16" customHeight="1" thickBot="1" x14ac:dyDescent="0.25">
      <c r="A28" s="1418"/>
      <c r="B28" s="1414"/>
      <c r="C28" s="766" t="s">
        <v>22</v>
      </c>
      <c r="D28" s="767" t="s">
        <v>263</v>
      </c>
      <c r="E28" s="768" t="s">
        <v>24</v>
      </c>
      <c r="F28" s="1368"/>
      <c r="G28" s="1368"/>
      <c r="H28" s="300"/>
    </row>
    <row r="29" spans="1:8" s="741" customFormat="1" ht="15" customHeight="1" x14ac:dyDescent="0.2">
      <c r="A29" s="754">
        <v>1</v>
      </c>
      <c r="B29" s="755">
        <f>E10</f>
        <v>23632.250820000001</v>
      </c>
      <c r="C29" s="755">
        <f>E29*1/3</f>
        <v>1362.7931306200001</v>
      </c>
      <c r="D29" s="756">
        <f>E29*2/3</f>
        <v>2725.5862612400001</v>
      </c>
      <c r="E29" s="755">
        <f>B29*$D$27</f>
        <v>4088.3793918599999</v>
      </c>
      <c r="F29" s="757"/>
      <c r="G29" s="758"/>
      <c r="H29" s="759"/>
    </row>
    <row r="30" spans="1:8" s="741" customFormat="1" ht="15" customHeight="1" x14ac:dyDescent="0.2">
      <c r="A30" s="760">
        <v>2</v>
      </c>
      <c r="B30" s="761">
        <f>E11</f>
        <v>26373.8838</v>
      </c>
      <c r="C30" s="761">
        <f>E30*1/3</f>
        <v>1520.8939657999999</v>
      </c>
      <c r="D30" s="748">
        <f>E30*2/3</f>
        <v>3041.7879315999999</v>
      </c>
      <c r="E30" s="761">
        <f>B30*$D$27</f>
        <v>4562.6818973999998</v>
      </c>
      <c r="F30" s="757"/>
      <c r="G30" s="758"/>
      <c r="H30" s="759"/>
    </row>
    <row r="31" spans="1:8" s="741" customFormat="1" ht="15" customHeight="1" x14ac:dyDescent="0.2">
      <c r="A31" s="760">
        <v>3</v>
      </c>
      <c r="B31" s="761">
        <f>E12</f>
        <v>29105.09232</v>
      </c>
      <c r="C31" s="761">
        <f>E31*1/3</f>
        <v>1678.3936571199999</v>
      </c>
      <c r="D31" s="748">
        <f>E31*2/3</f>
        <v>3356.7873142399999</v>
      </c>
      <c r="E31" s="761">
        <f>B31*$D$27</f>
        <v>5035.1809713599996</v>
      </c>
      <c r="F31" s="757"/>
      <c r="G31" s="758"/>
      <c r="H31" s="759"/>
    </row>
    <row r="32" spans="1:8" s="741" customFormat="1" ht="15" customHeight="1" thickBot="1" x14ac:dyDescent="0.25">
      <c r="A32" s="762">
        <v>4</v>
      </c>
      <c r="B32" s="744">
        <f>E13</f>
        <v>30647.912400000001</v>
      </c>
      <c r="C32" s="744">
        <f>E32*1/3</f>
        <v>1767.3629484000001</v>
      </c>
      <c r="D32" s="743">
        <f>E32*2/3</f>
        <v>3534.7258968000001</v>
      </c>
      <c r="E32" s="744">
        <f>B32*$D$27</f>
        <v>5302.0888451999999</v>
      </c>
      <c r="F32" s="757"/>
      <c r="G32" s="758"/>
    </row>
    <row r="33" spans="1:8" ht="20" customHeight="1" thickBot="1" x14ac:dyDescent="0.2">
      <c r="A33" s="45"/>
      <c r="B33" s="264"/>
      <c r="C33" s="264"/>
      <c r="D33" s="264"/>
      <c r="E33" s="259"/>
      <c r="F33" s="254"/>
      <c r="G33" s="254"/>
    </row>
    <row r="34" spans="1:8" ht="29" customHeight="1" thickBot="1" x14ac:dyDescent="0.2">
      <c r="A34" s="1369" t="s">
        <v>347</v>
      </c>
      <c r="B34" s="1370"/>
      <c r="C34" s="1370"/>
      <c r="D34" s="1370"/>
      <c r="E34" s="1371"/>
      <c r="F34" s="132" t="s">
        <v>96</v>
      </c>
      <c r="G34" s="254"/>
    </row>
    <row r="35" spans="1:8" ht="15" customHeight="1" thickBot="1" x14ac:dyDescent="0.2">
      <c r="A35" s="1039" t="s">
        <v>167</v>
      </c>
      <c r="B35" s="1040"/>
      <c r="C35" s="1040"/>
      <c r="D35" s="1040"/>
      <c r="E35" s="1363"/>
      <c r="F35" s="552">
        <v>160</v>
      </c>
      <c r="G35" s="254"/>
    </row>
    <row r="36" spans="1:8" s="283" customFormat="1" ht="28" customHeight="1" x14ac:dyDescent="0.15">
      <c r="A36" s="662"/>
      <c r="B36" s="662"/>
      <c r="C36" s="662"/>
      <c r="D36" s="662"/>
      <c r="E36" s="662"/>
      <c r="F36" s="500"/>
      <c r="G36" s="254"/>
    </row>
    <row r="37" spans="1:8" s="283" customFormat="1" ht="30" customHeight="1" x14ac:dyDescent="0.15">
      <c r="A37" s="1365" t="s">
        <v>158</v>
      </c>
      <c r="B37" s="1365"/>
      <c r="C37" s="1365"/>
      <c r="D37" s="1365"/>
      <c r="E37" s="1365"/>
      <c r="F37" s="1365"/>
      <c r="G37" s="1365"/>
      <c r="H37" s="513"/>
    </row>
    <row r="38" spans="1:8" s="283" customFormat="1" ht="32.25" customHeight="1" x14ac:dyDescent="0.15">
      <c r="A38" s="1366" t="s">
        <v>159</v>
      </c>
      <c r="B38" s="1366"/>
      <c r="C38" s="1366"/>
      <c r="D38" s="1366"/>
      <c r="E38" s="1366"/>
      <c r="F38" s="1366"/>
      <c r="G38" s="1366"/>
    </row>
    <row r="39" spans="1:8" s="266" customFormat="1" ht="14" x14ac:dyDescent="0.15">
      <c r="A39" s="1367"/>
      <c r="B39" s="1367"/>
      <c r="C39" s="1367"/>
      <c r="D39" s="1367"/>
      <c r="E39" s="1367"/>
      <c r="F39" s="1367"/>
      <c r="G39" s="1367"/>
    </row>
    <row r="40" spans="1:8" s="266" customFormat="1" x14ac:dyDescent="0.15">
      <c r="A40" s="265"/>
      <c r="B40" s="265"/>
      <c r="D40" s="267"/>
      <c r="F40" s="268"/>
      <c r="G40" s="268"/>
    </row>
    <row r="41" spans="1:8" s="266" customFormat="1" x14ac:dyDescent="0.15">
      <c r="A41" s="269"/>
      <c r="B41" s="269"/>
      <c r="D41" s="267"/>
      <c r="F41" s="268"/>
      <c r="G41" s="268"/>
    </row>
    <row r="42" spans="1:8" s="266" customFormat="1" x14ac:dyDescent="0.15">
      <c r="A42" s="269"/>
      <c r="B42" s="269"/>
      <c r="C42" s="270"/>
      <c r="D42" s="267"/>
      <c r="F42" s="268"/>
      <c r="G42" s="268"/>
    </row>
    <row r="43" spans="1:8" s="266" customFormat="1" x14ac:dyDescent="0.15">
      <c r="C43" s="271"/>
      <c r="D43" s="267"/>
      <c r="F43" s="268"/>
      <c r="G43" s="268"/>
    </row>
    <row r="44" spans="1:8" s="266" customFormat="1" x14ac:dyDescent="0.15">
      <c r="C44" s="271"/>
      <c r="D44" s="267"/>
      <c r="F44" s="268"/>
      <c r="G44" s="268"/>
    </row>
    <row r="45" spans="1:8" s="266" customFormat="1" x14ac:dyDescent="0.15">
      <c r="C45" s="271"/>
      <c r="D45" s="267"/>
      <c r="F45" s="268"/>
      <c r="G45" s="268"/>
    </row>
    <row r="46" spans="1:8" s="266" customFormat="1" x14ac:dyDescent="0.15">
      <c r="C46" s="272"/>
      <c r="D46" s="267"/>
      <c r="F46" s="268"/>
      <c r="G46" s="268"/>
    </row>
    <row r="47" spans="1:8" x14ac:dyDescent="0.15">
      <c r="A47" s="266"/>
      <c r="B47" s="266"/>
      <c r="C47" s="266"/>
      <c r="D47" s="267"/>
      <c r="E47" s="266"/>
      <c r="F47" s="268"/>
      <c r="G47" s="268"/>
    </row>
  </sheetData>
  <sheetProtection sheet="1" objects="1" scenarios="1"/>
  <mergeCells count="22">
    <mergeCell ref="A1:G1"/>
    <mergeCell ref="A4:G4"/>
    <mergeCell ref="A35:E35"/>
    <mergeCell ref="B27:B28"/>
    <mergeCell ref="A26:E26"/>
    <mergeCell ref="A15:E15"/>
    <mergeCell ref="A21:E21"/>
    <mergeCell ref="A8:A9"/>
    <mergeCell ref="A16:A17"/>
    <mergeCell ref="A5:G5"/>
    <mergeCell ref="A27:A28"/>
    <mergeCell ref="A3:G3"/>
    <mergeCell ref="A2:F2"/>
    <mergeCell ref="A7:F7"/>
    <mergeCell ref="A6:F6"/>
    <mergeCell ref="A37:G37"/>
    <mergeCell ref="A38:G38"/>
    <mergeCell ref="A39:G39"/>
    <mergeCell ref="F28:G28"/>
    <mergeCell ref="B8:B9"/>
    <mergeCell ref="A34:E34"/>
    <mergeCell ref="A22:A23"/>
  </mergeCells>
  <phoneticPr fontId="6" type="noConversion"/>
  <pageMargins left="0.7" right="0.7" top="0.75" bottom="0.75" header="0.3" footer="0.3"/>
  <pageSetup paperSize="9" scale="84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67"/>
  <sheetViews>
    <sheetView zoomScale="125" zoomScaleNormal="125" zoomScalePageLayoutView="125" workbookViewId="0">
      <selection activeCell="D7" sqref="D7"/>
    </sheetView>
  </sheetViews>
  <sheetFormatPr baseColWidth="10" defaultColWidth="8.83203125" defaultRowHeight="13" x14ac:dyDescent="0.15"/>
  <cols>
    <col min="1" max="1" width="22.33203125" style="365" customWidth="1"/>
    <col min="2" max="2" width="10.6640625" style="365" customWidth="1"/>
    <col min="3" max="3" width="11" style="365" customWidth="1"/>
    <col min="4" max="4" width="10.33203125" style="365" customWidth="1"/>
    <col min="5" max="5" width="11.33203125" style="365" customWidth="1"/>
    <col min="6" max="6" width="10.6640625" style="365" customWidth="1"/>
    <col min="7" max="7" width="10.33203125" style="365" customWidth="1"/>
    <col min="8" max="8" width="11.1640625" style="365" customWidth="1"/>
    <col min="9" max="9" width="11" style="365" customWidth="1"/>
    <col min="10" max="10" width="10.83203125" style="365" customWidth="1"/>
    <col min="11" max="16384" width="8.83203125" style="365"/>
  </cols>
  <sheetData>
    <row r="1" spans="1:13" ht="20.25" customHeight="1" x14ac:dyDescent="0.2">
      <c r="A1" s="1449" t="s">
        <v>20</v>
      </c>
      <c r="B1" s="1450"/>
      <c r="C1" s="1450"/>
      <c r="D1" s="1450"/>
      <c r="E1" s="1450"/>
      <c r="F1" s="1450"/>
      <c r="G1" s="1450"/>
      <c r="H1" s="1450"/>
      <c r="I1" s="1450"/>
      <c r="J1" s="1451"/>
    </row>
    <row r="2" spans="1:13" ht="20" customHeight="1" x14ac:dyDescent="0.2">
      <c r="A2" s="1446" t="s">
        <v>248</v>
      </c>
      <c r="B2" s="1447"/>
      <c r="C2" s="1447"/>
      <c r="D2" s="1447"/>
      <c r="E2" s="1447"/>
      <c r="F2" s="1447"/>
      <c r="G2" s="1447"/>
      <c r="H2" s="1447"/>
      <c r="I2" s="1447"/>
      <c r="J2" s="1448"/>
    </row>
    <row r="3" spans="1:13" ht="19.5" customHeight="1" x14ac:dyDescent="0.2">
      <c r="A3" s="1452" t="s">
        <v>353</v>
      </c>
      <c r="B3" s="1453"/>
      <c r="C3" s="1453"/>
      <c r="D3" s="1453"/>
      <c r="E3" s="1453"/>
      <c r="F3" s="1453"/>
      <c r="G3" s="1453"/>
      <c r="H3" s="1453"/>
      <c r="I3" s="1453"/>
      <c r="J3" s="1454"/>
    </row>
    <row r="4" spans="1:13" ht="23" customHeight="1" thickBot="1" x14ac:dyDescent="0.2">
      <c r="A4" s="1410" t="s">
        <v>266</v>
      </c>
      <c r="B4" s="1411"/>
      <c r="C4" s="1411"/>
      <c r="D4" s="1411"/>
      <c r="E4" s="1411"/>
      <c r="F4" s="1411"/>
      <c r="G4" s="1411"/>
      <c r="H4" s="1411"/>
      <c r="I4" s="1411"/>
      <c r="J4" s="1412"/>
    </row>
    <row r="5" spans="1:13" ht="15" thickBot="1" x14ac:dyDescent="0.2">
      <c r="A5" s="273"/>
      <c r="B5" s="273"/>
      <c r="C5" s="273"/>
      <c r="D5" s="273"/>
      <c r="E5" s="352"/>
      <c r="F5" s="352"/>
      <c r="G5" s="352"/>
      <c r="H5" s="352"/>
    </row>
    <row r="6" spans="1:13" s="283" customFormat="1" ht="19" thickBot="1" x14ac:dyDescent="0.25">
      <c r="A6" s="1351" t="s">
        <v>15</v>
      </c>
      <c r="B6" s="1352"/>
      <c r="C6" s="1352"/>
      <c r="D6" s="1353"/>
      <c r="E6" s="1445"/>
      <c r="F6" s="1445"/>
      <c r="G6" s="1445"/>
      <c r="H6" s="1445"/>
    </row>
    <row r="7" spans="1:13" s="283" customFormat="1" ht="15" thickBot="1" x14ac:dyDescent="0.2">
      <c r="A7" s="776" t="s">
        <v>245</v>
      </c>
      <c r="B7" s="777">
        <v>42095</v>
      </c>
      <c r="C7" s="777">
        <v>42461</v>
      </c>
      <c r="D7" s="777">
        <v>42826</v>
      </c>
      <c r="E7" s="292"/>
      <c r="F7" s="292"/>
      <c r="G7" s="292"/>
      <c r="H7" s="366"/>
    </row>
    <row r="8" spans="1:13" s="283" customFormat="1" ht="14" customHeight="1" x14ac:dyDescent="0.15">
      <c r="A8" s="384" t="s">
        <v>223</v>
      </c>
      <c r="B8" s="599">
        <v>23583</v>
      </c>
      <c r="C8" s="599">
        <v>23960</v>
      </c>
      <c r="D8" s="599">
        <v>24631</v>
      </c>
      <c r="E8" s="353"/>
      <c r="F8" s="354"/>
      <c r="G8" s="355"/>
      <c r="H8" s="355"/>
      <c r="I8" s="286"/>
      <c r="J8" s="284"/>
    </row>
    <row r="9" spans="1:13" s="283" customFormat="1" ht="13.5" customHeight="1" x14ac:dyDescent="0.15">
      <c r="A9" s="384" t="s">
        <v>246</v>
      </c>
      <c r="B9" s="599">
        <v>20856</v>
      </c>
      <c r="C9" s="599">
        <v>21190</v>
      </c>
      <c r="D9" s="599">
        <v>21783</v>
      </c>
      <c r="E9" s="353"/>
      <c r="F9" s="354"/>
      <c r="G9" s="355"/>
      <c r="H9" s="355"/>
      <c r="I9" s="286"/>
      <c r="J9" s="284"/>
    </row>
    <row r="10" spans="1:13" s="283" customFormat="1" ht="15" customHeight="1" thickBot="1" x14ac:dyDescent="0.2">
      <c r="A10" s="385" t="s">
        <v>224</v>
      </c>
      <c r="B10" s="600">
        <v>20337</v>
      </c>
      <c r="C10" s="600">
        <v>20663</v>
      </c>
      <c r="D10" s="600">
        <v>21241</v>
      </c>
      <c r="E10" s="353"/>
      <c r="F10" s="354"/>
      <c r="G10" s="355"/>
      <c r="H10" s="355"/>
      <c r="I10" s="286"/>
      <c r="J10" s="284"/>
      <c r="M10" s="285"/>
    </row>
    <row r="11" spans="1:13" s="283" customFormat="1" ht="15" thickBot="1" x14ac:dyDescent="0.2">
      <c r="B11" s="284"/>
      <c r="C11" s="284"/>
      <c r="D11" s="284"/>
      <c r="E11" s="310"/>
      <c r="F11" s="310"/>
      <c r="G11" s="310"/>
      <c r="H11" s="310"/>
    </row>
    <row r="12" spans="1:13" s="283" customFormat="1" ht="19" thickBot="1" x14ac:dyDescent="0.25">
      <c r="A12" s="1351" t="s">
        <v>189</v>
      </c>
      <c r="B12" s="1352"/>
      <c r="C12" s="1352"/>
      <c r="D12" s="1353"/>
    </row>
    <row r="13" spans="1:13" s="283" customFormat="1" ht="15" customHeight="1" thickBot="1" x14ac:dyDescent="0.2">
      <c r="A13" s="1422" t="s">
        <v>190</v>
      </c>
      <c r="B13" s="1423"/>
      <c r="C13" s="1423"/>
      <c r="D13" s="1424"/>
    </row>
    <row r="14" spans="1:13" s="283" customFormat="1" ht="16" customHeight="1" thickBot="1" x14ac:dyDescent="0.2">
      <c r="A14" s="386" t="s">
        <v>216</v>
      </c>
      <c r="B14" s="382">
        <v>42095</v>
      </c>
      <c r="C14" s="381">
        <v>42461</v>
      </c>
      <c r="D14" s="383">
        <v>42826</v>
      </c>
    </row>
    <row r="15" spans="1:13" s="283" customFormat="1" ht="16" customHeight="1" thickBot="1" x14ac:dyDescent="0.2">
      <c r="A15" s="387" t="s">
        <v>217</v>
      </c>
      <c r="B15" s="596">
        <v>114</v>
      </c>
      <c r="C15" s="597">
        <v>115.75</v>
      </c>
      <c r="D15" s="598">
        <v>119</v>
      </c>
      <c r="F15" s="284"/>
      <c r="G15" s="284"/>
      <c r="H15" s="284"/>
      <c r="I15" s="284"/>
      <c r="J15" s="284"/>
    </row>
    <row r="16" spans="1:13" s="283" customFormat="1" ht="16" customHeight="1" thickBot="1" x14ac:dyDescent="0.2">
      <c r="A16" s="292"/>
      <c r="B16" s="351"/>
      <c r="C16" s="351"/>
      <c r="D16" s="351"/>
      <c r="F16" s="284"/>
      <c r="G16" s="284"/>
      <c r="H16" s="284"/>
      <c r="I16" s="284"/>
      <c r="J16" s="284"/>
    </row>
    <row r="17" spans="1:10" s="283" customFormat="1" ht="16" customHeight="1" thickBot="1" x14ac:dyDescent="0.25">
      <c r="A17" s="1351" t="s">
        <v>221</v>
      </c>
      <c r="B17" s="1352"/>
      <c r="C17" s="1352"/>
      <c r="D17" s="1352"/>
      <c r="E17" s="1353"/>
      <c r="F17" s="284"/>
      <c r="G17" s="284"/>
      <c r="H17" s="284"/>
      <c r="I17" s="284"/>
      <c r="J17" s="284"/>
    </row>
    <row r="18" spans="1:10" s="283" customFormat="1" ht="16" customHeight="1" thickBot="1" x14ac:dyDescent="0.2">
      <c r="A18" s="388" t="s">
        <v>222</v>
      </c>
      <c r="B18" s="389"/>
      <c r="C18" s="390">
        <v>42095</v>
      </c>
      <c r="D18" s="391">
        <v>42461</v>
      </c>
      <c r="E18" s="392">
        <v>42826</v>
      </c>
      <c r="F18" s="284"/>
      <c r="G18" s="284"/>
      <c r="H18" s="284"/>
      <c r="I18" s="284"/>
      <c r="J18" s="284"/>
    </row>
    <row r="19" spans="1:10" s="283" customFormat="1" ht="16" customHeight="1" x14ac:dyDescent="0.15">
      <c r="A19" s="393" t="s">
        <v>218</v>
      </c>
      <c r="B19" s="394"/>
      <c r="C19" s="588">
        <v>61.25</v>
      </c>
      <c r="D19" s="589">
        <v>62.25</v>
      </c>
      <c r="E19" s="590">
        <v>64</v>
      </c>
      <c r="F19" s="284"/>
      <c r="G19" s="284"/>
      <c r="H19" s="284"/>
      <c r="I19" s="284"/>
      <c r="J19" s="284"/>
    </row>
    <row r="20" spans="1:10" s="283" customFormat="1" ht="16" customHeight="1" x14ac:dyDescent="0.15">
      <c r="A20" s="395" t="s">
        <v>219</v>
      </c>
      <c r="B20" s="394"/>
      <c r="C20" s="591">
        <v>69.75</v>
      </c>
      <c r="D20" s="319">
        <v>71</v>
      </c>
      <c r="E20" s="592">
        <v>72.75</v>
      </c>
      <c r="F20" s="284"/>
      <c r="G20" s="284"/>
      <c r="H20" s="284"/>
      <c r="I20" s="284"/>
      <c r="J20" s="284"/>
    </row>
    <row r="21" spans="1:10" s="283" customFormat="1" ht="16" customHeight="1" thickBot="1" x14ac:dyDescent="0.2">
      <c r="A21" s="396" t="s">
        <v>220</v>
      </c>
      <c r="B21" s="397"/>
      <c r="C21" s="593">
        <v>79.5</v>
      </c>
      <c r="D21" s="594">
        <v>81</v>
      </c>
      <c r="E21" s="595">
        <v>83.25</v>
      </c>
      <c r="F21" s="284"/>
      <c r="G21" s="284"/>
      <c r="H21" s="284"/>
      <c r="I21" s="284"/>
      <c r="J21" s="284"/>
    </row>
    <row r="22" spans="1:10" s="283" customFormat="1" ht="15" thickBot="1" x14ac:dyDescent="0.2">
      <c r="A22" s="292"/>
      <c r="B22" s="291"/>
      <c r="C22" s="291"/>
      <c r="D22" s="291"/>
      <c r="E22" s="429"/>
      <c r="F22" s="429"/>
      <c r="G22" s="310"/>
    </row>
    <row r="23" spans="1:10" s="283" customFormat="1" ht="19" thickBot="1" x14ac:dyDescent="0.2">
      <c r="A23" s="1440" t="s">
        <v>191</v>
      </c>
      <c r="B23" s="1441"/>
      <c r="C23" s="1441"/>
      <c r="D23" s="1441"/>
      <c r="E23" s="1441"/>
      <c r="F23" s="1442"/>
      <c r="G23" s="659"/>
    </row>
    <row r="24" spans="1:10" s="283" customFormat="1" ht="15" thickBot="1" x14ac:dyDescent="0.2">
      <c r="A24" s="1435"/>
      <c r="B24" s="1436"/>
      <c r="C24" s="1436"/>
      <c r="D24" s="778">
        <v>42095</v>
      </c>
      <c r="E24" s="779">
        <v>42461</v>
      </c>
      <c r="F24" s="780">
        <v>42826</v>
      </c>
      <c r="G24" s="367"/>
    </row>
    <row r="25" spans="1:10" s="283" customFormat="1" ht="14" customHeight="1" x14ac:dyDescent="0.15">
      <c r="A25" s="1427" t="s">
        <v>227</v>
      </c>
      <c r="B25" s="1428"/>
      <c r="C25" s="430" t="s">
        <v>184</v>
      </c>
      <c r="D25" s="577">
        <v>30.5</v>
      </c>
      <c r="E25" s="578">
        <v>31</v>
      </c>
      <c r="F25" s="579">
        <v>32</v>
      </c>
      <c r="G25" s="368"/>
    </row>
    <row r="26" spans="1:10" s="283" customFormat="1" ht="14" x14ac:dyDescent="0.15">
      <c r="A26" s="1429" t="s">
        <v>228</v>
      </c>
      <c r="B26" s="1430"/>
      <c r="C26" s="661" t="s">
        <v>184</v>
      </c>
      <c r="D26" s="580">
        <v>46</v>
      </c>
      <c r="E26" s="581">
        <v>46.75</v>
      </c>
      <c r="F26" s="582">
        <v>48</v>
      </c>
      <c r="G26" s="368"/>
    </row>
    <row r="27" spans="1:10" s="283" customFormat="1" ht="23" customHeight="1" x14ac:dyDescent="0.15">
      <c r="A27" s="1431" t="s">
        <v>225</v>
      </c>
      <c r="B27" s="1432"/>
      <c r="C27" s="661" t="s">
        <v>184</v>
      </c>
      <c r="D27" s="580">
        <v>50</v>
      </c>
      <c r="E27" s="581">
        <v>50.75</v>
      </c>
      <c r="F27" s="582">
        <v>52.25</v>
      </c>
      <c r="G27" s="368"/>
    </row>
    <row r="28" spans="1:10" s="283" customFormat="1" ht="15.75" customHeight="1" thickBot="1" x14ac:dyDescent="0.2">
      <c r="A28" s="1433" t="s">
        <v>226</v>
      </c>
      <c r="B28" s="1434"/>
      <c r="C28" s="398" t="s">
        <v>184</v>
      </c>
      <c r="D28" s="583">
        <v>18</v>
      </c>
      <c r="E28" s="584">
        <v>18.25</v>
      </c>
      <c r="F28" s="585">
        <v>18.75</v>
      </c>
      <c r="G28" s="368"/>
    </row>
    <row r="29" spans="1:10" s="283" customFormat="1" ht="15" thickBot="1" x14ac:dyDescent="0.2">
      <c r="A29" s="273"/>
      <c r="B29" s="273"/>
      <c r="C29" s="273"/>
      <c r="D29" s="273"/>
      <c r="E29" s="273"/>
      <c r="F29" s="274"/>
      <c r="G29" s="273"/>
    </row>
    <row r="30" spans="1:10" s="283" customFormat="1" ht="19" thickBot="1" x14ac:dyDescent="0.25">
      <c r="A30" s="1354" t="s">
        <v>230</v>
      </c>
      <c r="B30" s="1352"/>
      <c r="C30" s="1352"/>
      <c r="D30" s="1352"/>
      <c r="E30" s="1352"/>
      <c r="F30" s="1352"/>
      <c r="G30" s="1352"/>
      <c r="H30" s="1352"/>
      <c r="I30" s="1352"/>
      <c r="J30" s="1353"/>
    </row>
    <row r="31" spans="1:10" s="283" customFormat="1" ht="15" customHeight="1" thickBot="1" x14ac:dyDescent="0.2">
      <c r="A31" s="1443" t="s">
        <v>231</v>
      </c>
      <c r="B31" s="1438" t="s">
        <v>237</v>
      </c>
      <c r="C31" s="1437"/>
      <c r="D31" s="1439"/>
      <c r="E31" s="1438" t="s">
        <v>239</v>
      </c>
      <c r="F31" s="1437"/>
      <c r="G31" s="1439"/>
      <c r="H31" s="1438" t="s">
        <v>238</v>
      </c>
      <c r="I31" s="1437"/>
      <c r="J31" s="1439"/>
    </row>
    <row r="32" spans="1:10" s="283" customFormat="1" ht="15" thickBot="1" x14ac:dyDescent="0.2">
      <c r="A32" s="1444"/>
      <c r="B32" s="377">
        <v>42095</v>
      </c>
      <c r="C32" s="377">
        <v>42461</v>
      </c>
      <c r="D32" s="377">
        <v>42826</v>
      </c>
      <c r="E32" s="377">
        <v>42095</v>
      </c>
      <c r="F32" s="378">
        <v>42461</v>
      </c>
      <c r="G32" s="377">
        <v>42461</v>
      </c>
      <c r="H32" s="379">
        <v>42095</v>
      </c>
      <c r="I32" s="377">
        <v>42461</v>
      </c>
      <c r="J32" s="380">
        <v>42826</v>
      </c>
    </row>
    <row r="33" spans="1:10" s="283" customFormat="1" ht="15" customHeight="1" x14ac:dyDescent="0.15">
      <c r="A33" s="359" t="s">
        <v>232</v>
      </c>
      <c r="B33" s="566">
        <v>534.75</v>
      </c>
      <c r="C33" s="566">
        <v>543.5</v>
      </c>
      <c r="D33" s="566">
        <v>558.5</v>
      </c>
      <c r="E33" s="566">
        <v>802.25</v>
      </c>
      <c r="F33" s="567">
        <v>815</v>
      </c>
      <c r="G33" s="568">
        <v>838</v>
      </c>
      <c r="H33" s="569">
        <v>1069.5</v>
      </c>
      <c r="I33" s="568">
        <v>1086.5</v>
      </c>
      <c r="J33" s="570">
        <v>1117</v>
      </c>
    </row>
    <row r="34" spans="1:10" s="283" customFormat="1" ht="15" customHeight="1" x14ac:dyDescent="0.15">
      <c r="A34" s="359" t="s">
        <v>233</v>
      </c>
      <c r="B34" s="571">
        <v>534.75</v>
      </c>
      <c r="C34" s="571">
        <v>543.5</v>
      </c>
      <c r="D34" s="571">
        <v>558.5</v>
      </c>
      <c r="E34" s="571">
        <v>802.25</v>
      </c>
      <c r="F34" s="572">
        <v>815</v>
      </c>
      <c r="G34" s="329">
        <v>838</v>
      </c>
      <c r="H34" s="327">
        <v>1069.5</v>
      </c>
      <c r="I34" s="329">
        <v>1086.5</v>
      </c>
      <c r="J34" s="573">
        <v>1117</v>
      </c>
    </row>
    <row r="35" spans="1:10" s="283" customFormat="1" ht="15" customHeight="1" x14ac:dyDescent="0.15">
      <c r="A35" s="359" t="s">
        <v>234</v>
      </c>
      <c r="B35" s="571">
        <v>534.75</v>
      </c>
      <c r="C35" s="571">
        <v>543.5</v>
      </c>
      <c r="D35" s="571">
        <v>558.5</v>
      </c>
      <c r="E35" s="571">
        <v>1069.5</v>
      </c>
      <c r="F35" s="572">
        <v>1086.5</v>
      </c>
      <c r="G35" s="329">
        <v>1117</v>
      </c>
      <c r="H35" s="327">
        <v>1604.25</v>
      </c>
      <c r="I35" s="329">
        <v>1629.75</v>
      </c>
      <c r="J35" s="573">
        <v>1675.5</v>
      </c>
    </row>
    <row r="36" spans="1:10" s="283" customFormat="1" ht="15" customHeight="1" x14ac:dyDescent="0.15">
      <c r="A36" s="359" t="s">
        <v>235</v>
      </c>
      <c r="B36" s="571">
        <v>534.75</v>
      </c>
      <c r="C36" s="571">
        <v>543.5</v>
      </c>
      <c r="D36" s="571">
        <v>558.5</v>
      </c>
      <c r="E36" s="571">
        <v>1069.5</v>
      </c>
      <c r="F36" s="572">
        <v>1086.5</v>
      </c>
      <c r="G36" s="329">
        <v>1117</v>
      </c>
      <c r="H36" s="327">
        <v>1604.25</v>
      </c>
      <c r="I36" s="329">
        <v>1629.75</v>
      </c>
      <c r="J36" s="573">
        <v>1675.5</v>
      </c>
    </row>
    <row r="37" spans="1:10" s="283" customFormat="1" ht="15" customHeight="1" thickBot="1" x14ac:dyDescent="0.2">
      <c r="A37" s="360" t="s">
        <v>236</v>
      </c>
      <c r="B37" s="574">
        <v>1604.25</v>
      </c>
      <c r="C37" s="574">
        <v>1629.75</v>
      </c>
      <c r="D37" s="574">
        <v>1675.5</v>
      </c>
      <c r="E37" s="574">
        <v>2139</v>
      </c>
      <c r="F37" s="575">
        <v>2173.25</v>
      </c>
      <c r="G37" s="335">
        <v>2234</v>
      </c>
      <c r="H37" s="333">
        <v>2673.5</v>
      </c>
      <c r="I37" s="335">
        <v>2716.25</v>
      </c>
      <c r="J37" s="576">
        <v>2792.5</v>
      </c>
    </row>
    <row r="38" spans="1:10" s="283" customFormat="1" ht="15" thickBot="1" x14ac:dyDescent="0.2">
      <c r="A38" s="273"/>
      <c r="B38" s="273"/>
      <c r="C38" s="273"/>
      <c r="D38" s="273"/>
      <c r="E38" s="273"/>
      <c r="F38" s="274"/>
      <c r="G38" s="273"/>
    </row>
    <row r="39" spans="1:10" s="283" customFormat="1" ht="19" thickBot="1" x14ac:dyDescent="0.25">
      <c r="A39" s="1351" t="s">
        <v>240</v>
      </c>
      <c r="B39" s="1352"/>
      <c r="C39" s="1352"/>
      <c r="D39" s="1352"/>
      <c r="E39" s="1352"/>
      <c r="F39" s="1352"/>
      <c r="G39" s="1352"/>
      <c r="H39" s="1352"/>
      <c r="I39" s="1352"/>
      <c r="J39" s="1353"/>
    </row>
    <row r="40" spans="1:10" s="283" customFormat="1" ht="15" customHeight="1" thickBot="1" x14ac:dyDescent="0.2">
      <c r="A40" s="1443" t="s">
        <v>231</v>
      </c>
      <c r="B40" s="1438" t="s">
        <v>237</v>
      </c>
      <c r="C40" s="1437"/>
      <c r="D40" s="1439"/>
      <c r="E40" s="1437" t="s">
        <v>239</v>
      </c>
      <c r="F40" s="1437"/>
      <c r="G40" s="1437"/>
      <c r="H40" s="1438" t="s">
        <v>238</v>
      </c>
      <c r="I40" s="1437"/>
      <c r="J40" s="1439"/>
    </row>
    <row r="41" spans="1:10" s="283" customFormat="1" ht="15" thickBot="1" x14ac:dyDescent="0.2">
      <c r="A41" s="1444"/>
      <c r="B41" s="375">
        <v>42095</v>
      </c>
      <c r="C41" s="375">
        <v>42461</v>
      </c>
      <c r="D41" s="375">
        <v>42826</v>
      </c>
      <c r="E41" s="375">
        <v>42095</v>
      </c>
      <c r="F41" s="375">
        <v>42461</v>
      </c>
      <c r="G41" s="375">
        <v>42461</v>
      </c>
      <c r="H41" s="375">
        <v>42095</v>
      </c>
      <c r="I41" s="375">
        <v>42461</v>
      </c>
      <c r="J41" s="376">
        <v>42826</v>
      </c>
    </row>
    <row r="42" spans="1:10" s="283" customFormat="1" ht="15" customHeight="1" x14ac:dyDescent="0.15">
      <c r="A42" s="357" t="s">
        <v>241</v>
      </c>
      <c r="B42" s="586">
        <v>534.75</v>
      </c>
      <c r="C42" s="586">
        <v>543.5</v>
      </c>
      <c r="D42" s="586">
        <v>558.5</v>
      </c>
      <c r="E42" s="586">
        <v>1069.5</v>
      </c>
      <c r="F42" s="586">
        <v>1086.5</v>
      </c>
      <c r="G42" s="587">
        <v>1117</v>
      </c>
      <c r="H42" s="587">
        <v>1604.25</v>
      </c>
      <c r="I42" s="587">
        <v>1629.75</v>
      </c>
      <c r="J42" s="587">
        <v>1675.5</v>
      </c>
    </row>
    <row r="43" spans="1:10" s="283" customFormat="1" ht="15" customHeight="1" x14ac:dyDescent="0.15">
      <c r="A43" s="357" t="s">
        <v>236</v>
      </c>
      <c r="B43" s="571">
        <v>1604.25</v>
      </c>
      <c r="C43" s="571">
        <v>1629.75</v>
      </c>
      <c r="D43" s="571">
        <v>1675.5</v>
      </c>
      <c r="E43" s="571">
        <v>2139</v>
      </c>
      <c r="F43" s="571">
        <v>2173.25</v>
      </c>
      <c r="G43" s="329">
        <v>2234</v>
      </c>
      <c r="H43" s="329">
        <v>2673.5</v>
      </c>
      <c r="I43" s="329">
        <v>2716.25</v>
      </c>
      <c r="J43" s="329">
        <v>2792.5</v>
      </c>
    </row>
    <row r="44" spans="1:10" s="283" customFormat="1" ht="15" customHeight="1" x14ac:dyDescent="0.15">
      <c r="A44" s="357" t="s">
        <v>242</v>
      </c>
      <c r="B44" s="571">
        <v>1069.5</v>
      </c>
      <c r="C44" s="571">
        <v>1086.5</v>
      </c>
      <c r="D44" s="329">
        <v>1117</v>
      </c>
      <c r="E44" s="571">
        <v>1604.25</v>
      </c>
      <c r="F44" s="571">
        <v>1629.75</v>
      </c>
      <c r="G44" s="329">
        <v>1675.5</v>
      </c>
      <c r="H44" s="329">
        <v>2139</v>
      </c>
      <c r="I44" s="329">
        <v>2173.25</v>
      </c>
      <c r="J44" s="329">
        <v>2234</v>
      </c>
    </row>
    <row r="45" spans="1:10" s="283" customFormat="1" ht="15" customHeight="1" x14ac:dyDescent="0.15">
      <c r="A45" s="357" t="s">
        <v>243</v>
      </c>
      <c r="B45" s="571">
        <v>1069.5</v>
      </c>
      <c r="C45" s="571">
        <v>1086.5</v>
      </c>
      <c r="D45" s="329">
        <v>1117</v>
      </c>
      <c r="E45" s="571">
        <v>1069.5</v>
      </c>
      <c r="F45" s="571">
        <v>1086.5</v>
      </c>
      <c r="G45" s="329">
        <v>1117</v>
      </c>
      <c r="H45" s="329">
        <v>1069.5</v>
      </c>
      <c r="I45" s="329">
        <v>1086.5</v>
      </c>
      <c r="J45" s="329">
        <v>1117</v>
      </c>
    </row>
    <row r="46" spans="1:10" s="283" customFormat="1" ht="15" customHeight="1" x14ac:dyDescent="0.15">
      <c r="A46" s="357" t="s">
        <v>412</v>
      </c>
      <c r="B46" s="571">
        <v>534.75</v>
      </c>
      <c r="C46" s="571">
        <v>543.5</v>
      </c>
      <c r="D46" s="571">
        <v>558.5</v>
      </c>
      <c r="E46" s="571">
        <v>802.25</v>
      </c>
      <c r="F46" s="571">
        <v>815</v>
      </c>
      <c r="G46" s="329">
        <v>838</v>
      </c>
      <c r="H46" s="329">
        <v>1069.5</v>
      </c>
      <c r="I46" s="329">
        <v>1086.5</v>
      </c>
      <c r="J46" s="329">
        <v>1117</v>
      </c>
    </row>
    <row r="47" spans="1:10" s="283" customFormat="1" ht="15" customHeight="1" thickBot="1" x14ac:dyDescent="0.2">
      <c r="A47" s="358" t="s">
        <v>244</v>
      </c>
      <c r="B47" s="574">
        <v>1069.5</v>
      </c>
      <c r="C47" s="574">
        <v>1086.5</v>
      </c>
      <c r="D47" s="335">
        <v>1117</v>
      </c>
      <c r="E47" s="574">
        <v>1604.25</v>
      </c>
      <c r="F47" s="574">
        <v>1629.75</v>
      </c>
      <c r="G47" s="335">
        <v>1675.5</v>
      </c>
      <c r="H47" s="335">
        <v>2139</v>
      </c>
      <c r="I47" s="335">
        <v>2173.25</v>
      </c>
      <c r="J47" s="335">
        <v>2234</v>
      </c>
    </row>
    <row r="48" spans="1:10" s="283" customFormat="1" ht="9" customHeight="1" x14ac:dyDescent="0.15">
      <c r="A48" s="364"/>
      <c r="B48" s="361"/>
      <c r="C48" s="361"/>
      <c r="D48" s="362"/>
      <c r="E48" s="361"/>
      <c r="F48" s="361"/>
      <c r="G48" s="362"/>
      <c r="H48" s="363"/>
      <c r="I48" s="362"/>
      <c r="J48" s="362"/>
    </row>
    <row r="49" spans="1:10" s="283" customFormat="1" ht="15" customHeight="1" x14ac:dyDescent="0.15">
      <c r="A49" s="283" t="s">
        <v>270</v>
      </c>
      <c r="F49" s="356"/>
      <c r="G49" s="273"/>
      <c r="H49" s="363"/>
      <c r="I49" s="362"/>
      <c r="J49" s="362"/>
    </row>
    <row r="50" spans="1:10" s="283" customFormat="1" ht="12.75" customHeight="1" x14ac:dyDescent="0.15">
      <c r="A50" s="608" t="s">
        <v>229</v>
      </c>
      <c r="F50" s="356"/>
      <c r="G50" s="273"/>
      <c r="H50" s="363"/>
      <c r="I50" s="362"/>
      <c r="J50" s="362"/>
    </row>
    <row r="51" spans="1:10" s="429" customFormat="1" ht="25.5" customHeight="1" thickBot="1" x14ac:dyDescent="0.2">
      <c r="A51" s="609" t="s">
        <v>415</v>
      </c>
    </row>
    <row r="52" spans="1:10" s="429" customFormat="1" ht="19" thickBot="1" x14ac:dyDescent="0.25">
      <c r="A52" s="1351" t="s">
        <v>267</v>
      </c>
      <c r="B52" s="1352"/>
      <c r="C52" s="1352"/>
      <c r="D52" s="1353"/>
      <c r="E52" s="564"/>
      <c r="F52" s="564"/>
      <c r="G52" s="564"/>
      <c r="H52" s="564"/>
    </row>
    <row r="53" spans="1:10" s="429" customFormat="1" ht="15" thickBot="1" x14ac:dyDescent="0.2">
      <c r="A53" s="1422" t="s">
        <v>269</v>
      </c>
      <c r="B53" s="1423"/>
      <c r="C53" s="1423"/>
      <c r="D53" s="1424"/>
    </row>
    <row r="54" spans="1:10" s="429" customFormat="1" ht="15" thickBot="1" x14ac:dyDescent="0.2">
      <c r="A54" s="386"/>
      <c r="B54" s="382">
        <v>42095</v>
      </c>
      <c r="C54" s="381">
        <v>42461</v>
      </c>
      <c r="D54" s="383">
        <v>42826</v>
      </c>
    </row>
    <row r="55" spans="1:10" s="429" customFormat="1" ht="15" thickBot="1" x14ac:dyDescent="0.2">
      <c r="A55" s="387" t="s">
        <v>268</v>
      </c>
      <c r="B55" s="610">
        <v>1.1000000000000001</v>
      </c>
      <c r="C55" s="611">
        <v>1.6</v>
      </c>
      <c r="D55" s="612">
        <v>2.8</v>
      </c>
      <c r="F55" s="276"/>
      <c r="G55" s="276"/>
      <c r="H55" s="276"/>
    </row>
    <row r="56" spans="1:10" s="429" customFormat="1" ht="14" x14ac:dyDescent="0.15">
      <c r="A56" s="606"/>
      <c r="B56" s="607"/>
      <c r="C56" s="565"/>
      <c r="D56" s="565"/>
    </row>
    <row r="57" spans="1:10" s="283" customFormat="1" ht="14" x14ac:dyDescent="0.15">
      <c r="A57" s="285"/>
    </row>
    <row r="58" spans="1:10" s="283" customFormat="1" ht="14" x14ac:dyDescent="0.15"/>
    <row r="59" spans="1:10" s="283" customFormat="1" ht="18" x14ac:dyDescent="0.15">
      <c r="A59" s="1425"/>
      <c r="B59" s="1425"/>
      <c r="C59" s="1425"/>
      <c r="D59" s="1425"/>
    </row>
    <row r="60" spans="1:10" s="283" customFormat="1" ht="14" x14ac:dyDescent="0.15">
      <c r="A60" s="660"/>
      <c r="B60" s="1426"/>
      <c r="C60" s="369"/>
      <c r="D60" s="369"/>
    </row>
    <row r="61" spans="1:10" s="283" customFormat="1" ht="14" x14ac:dyDescent="0.15">
      <c r="A61" s="660"/>
      <c r="B61" s="1426"/>
      <c r="C61" s="370"/>
      <c r="D61" s="367"/>
    </row>
    <row r="62" spans="1:10" s="283" customFormat="1" ht="14" x14ac:dyDescent="0.15">
      <c r="A62" s="371"/>
      <c r="B62" s="371"/>
      <c r="C62" s="372"/>
      <c r="D62" s="372"/>
    </row>
    <row r="63" spans="1:10" ht="14" x14ac:dyDescent="0.15">
      <c r="A63" s="371"/>
      <c r="B63" s="371"/>
      <c r="C63" s="372"/>
      <c r="D63" s="372"/>
      <c r="E63" s="283"/>
      <c r="F63" s="283"/>
      <c r="G63" s="283"/>
      <c r="H63" s="283"/>
      <c r="I63" s="283"/>
      <c r="J63" s="283"/>
    </row>
    <row r="64" spans="1:10" ht="14" x14ac:dyDescent="0.15">
      <c r="A64" s="373"/>
      <c r="B64" s="373"/>
      <c r="C64" s="374"/>
      <c r="D64" s="372"/>
      <c r="E64" s="658"/>
      <c r="F64" s="658"/>
      <c r="G64" s="658"/>
      <c r="H64" s="658"/>
      <c r="I64" s="283"/>
      <c r="J64" s="283"/>
    </row>
    <row r="65" spans="1:10" ht="14" x14ac:dyDescent="0.15">
      <c r="A65" s="373"/>
      <c r="B65" s="373"/>
      <c r="C65" s="374"/>
      <c r="D65" s="372"/>
      <c r="E65" s="283"/>
      <c r="F65" s="283"/>
      <c r="G65" s="283"/>
      <c r="H65" s="283"/>
      <c r="I65" s="283"/>
      <c r="J65" s="283"/>
    </row>
    <row r="66" spans="1:10" ht="14" x14ac:dyDescent="0.15">
      <c r="A66" s="310"/>
      <c r="B66" s="310"/>
      <c r="C66" s="310"/>
      <c r="D66" s="310"/>
      <c r="E66" s="283"/>
      <c r="F66" s="283"/>
      <c r="G66" s="283"/>
      <c r="H66" s="283"/>
      <c r="I66" s="283"/>
      <c r="J66" s="283"/>
    </row>
    <row r="67" spans="1:10" ht="14" x14ac:dyDescent="0.15">
      <c r="A67" s="283"/>
      <c r="B67" s="283"/>
      <c r="C67" s="283"/>
      <c r="D67" s="283"/>
      <c r="E67" s="283"/>
      <c r="F67" s="283"/>
      <c r="G67" s="283"/>
      <c r="H67" s="283"/>
      <c r="I67" s="283"/>
      <c r="J67" s="283"/>
    </row>
    <row r="68" spans="1:10" ht="14" x14ac:dyDescent="0.15">
      <c r="A68" s="283"/>
      <c r="B68" s="283"/>
      <c r="C68" s="283"/>
      <c r="D68" s="283"/>
      <c r="E68" s="283"/>
      <c r="F68" s="283"/>
      <c r="G68" s="283"/>
      <c r="H68" s="283"/>
      <c r="I68" s="283"/>
      <c r="J68" s="283"/>
    </row>
    <row r="69" spans="1:10" ht="14" x14ac:dyDescent="0.15">
      <c r="A69" s="283"/>
      <c r="B69" s="283"/>
      <c r="C69" s="283"/>
      <c r="D69" s="283"/>
      <c r="E69" s="283"/>
      <c r="F69" s="283"/>
      <c r="G69" s="283"/>
      <c r="H69" s="283"/>
      <c r="I69" s="283"/>
      <c r="J69" s="283"/>
    </row>
    <row r="70" spans="1:10" ht="14" x14ac:dyDescent="0.15">
      <c r="A70" s="283"/>
      <c r="B70" s="283"/>
      <c r="C70" s="283"/>
      <c r="D70" s="283"/>
    </row>
    <row r="71" spans="1:10" ht="14" x14ac:dyDescent="0.15">
      <c r="A71" s="658"/>
      <c r="B71" s="658"/>
      <c r="C71" s="658"/>
      <c r="D71" s="658"/>
    </row>
    <row r="72" spans="1:10" s="283" customFormat="1" ht="14" x14ac:dyDescent="0.15">
      <c r="A72" s="658"/>
      <c r="E72" s="365"/>
      <c r="F72" s="365"/>
      <c r="G72" s="365"/>
      <c r="H72" s="365"/>
      <c r="I72" s="365"/>
      <c r="J72" s="365"/>
    </row>
    <row r="73" spans="1:10" s="283" customFormat="1" ht="14" x14ac:dyDescent="0.15">
      <c r="E73" s="365"/>
      <c r="F73" s="365"/>
      <c r="G73" s="365"/>
      <c r="H73" s="365"/>
      <c r="I73" s="365"/>
      <c r="J73" s="365"/>
    </row>
    <row r="74" spans="1:10" s="283" customFormat="1" ht="14" x14ac:dyDescent="0.15">
      <c r="E74" s="365"/>
      <c r="F74" s="365"/>
      <c r="G74" s="365"/>
      <c r="H74" s="365"/>
      <c r="I74" s="365"/>
      <c r="J74" s="365"/>
    </row>
    <row r="75" spans="1:10" s="283" customFormat="1" ht="14" x14ac:dyDescent="0.15">
      <c r="E75" s="365"/>
      <c r="F75" s="365"/>
      <c r="G75" s="365"/>
      <c r="H75" s="365"/>
      <c r="I75" s="365"/>
      <c r="J75" s="365"/>
    </row>
    <row r="76" spans="1:10" s="283" customFormat="1" ht="14" x14ac:dyDescent="0.15">
      <c r="E76" s="365"/>
      <c r="F76" s="365"/>
      <c r="G76" s="365"/>
      <c r="H76" s="365"/>
      <c r="I76" s="365"/>
      <c r="J76" s="365"/>
    </row>
    <row r="77" spans="1:10" s="283" customFormat="1" ht="14" x14ac:dyDescent="0.15">
      <c r="A77" s="365"/>
      <c r="B77" s="365"/>
      <c r="C77" s="365"/>
      <c r="D77" s="365"/>
      <c r="E77" s="365"/>
      <c r="F77" s="365"/>
      <c r="G77" s="365"/>
      <c r="H77" s="365"/>
      <c r="I77" s="365"/>
      <c r="J77" s="365"/>
    </row>
    <row r="78" spans="1:10" s="283" customFormat="1" ht="14" x14ac:dyDescent="0.15">
      <c r="A78" s="365"/>
      <c r="B78" s="365"/>
      <c r="C78" s="365"/>
      <c r="D78" s="365"/>
      <c r="E78" s="365"/>
      <c r="F78" s="365"/>
      <c r="G78" s="365"/>
      <c r="H78" s="365"/>
      <c r="I78" s="365"/>
      <c r="J78" s="365"/>
    </row>
    <row r="79" spans="1:10" s="283" customFormat="1" ht="14" x14ac:dyDescent="0.15">
      <c r="A79" s="365"/>
      <c r="B79" s="365"/>
      <c r="C79" s="365"/>
      <c r="D79" s="365"/>
    </row>
    <row r="80" spans="1:10" s="283" customFormat="1" ht="14" x14ac:dyDescent="0.15">
      <c r="A80" s="365"/>
      <c r="B80" s="365"/>
      <c r="C80" s="365"/>
      <c r="D80" s="365"/>
    </row>
    <row r="81" spans="1:4" s="283" customFormat="1" ht="14" x14ac:dyDescent="0.15">
      <c r="A81" s="365"/>
      <c r="B81" s="365"/>
      <c r="C81" s="365"/>
      <c r="D81" s="365"/>
    </row>
    <row r="82" spans="1:4" s="283" customFormat="1" ht="14" x14ac:dyDescent="0.15">
      <c r="A82" s="365"/>
      <c r="B82" s="365"/>
      <c r="C82" s="365"/>
      <c r="D82" s="365"/>
    </row>
    <row r="83" spans="1:4" s="283" customFormat="1" ht="14" x14ac:dyDescent="0.15">
      <c r="A83" s="365"/>
      <c r="B83" s="365"/>
      <c r="C83" s="365"/>
      <c r="D83" s="365"/>
    </row>
    <row r="84" spans="1:4" s="283" customFormat="1" ht="14" x14ac:dyDescent="0.15">
      <c r="A84" s="365"/>
      <c r="B84" s="365"/>
      <c r="C84" s="365"/>
      <c r="D84" s="365"/>
    </row>
    <row r="85" spans="1:4" s="283" customFormat="1" ht="14" x14ac:dyDescent="0.15">
      <c r="A85" s="365"/>
      <c r="B85" s="365"/>
      <c r="C85" s="365"/>
      <c r="D85" s="365"/>
    </row>
    <row r="86" spans="1:4" s="283" customFormat="1" ht="14" x14ac:dyDescent="0.15"/>
    <row r="87" spans="1:4" s="283" customFormat="1" ht="14" x14ac:dyDescent="0.15"/>
    <row r="88" spans="1:4" s="283" customFormat="1" ht="14" x14ac:dyDescent="0.15"/>
    <row r="89" spans="1:4" s="283" customFormat="1" ht="14" x14ac:dyDescent="0.15"/>
    <row r="90" spans="1:4" s="283" customFormat="1" ht="14" x14ac:dyDescent="0.15"/>
    <row r="91" spans="1:4" s="283" customFormat="1" ht="14" x14ac:dyDescent="0.15"/>
    <row r="92" spans="1:4" s="283" customFormat="1" ht="14" x14ac:dyDescent="0.15"/>
    <row r="93" spans="1:4" s="283" customFormat="1" ht="14" x14ac:dyDescent="0.15"/>
    <row r="94" spans="1:4" s="283" customFormat="1" ht="14" x14ac:dyDescent="0.15"/>
    <row r="95" spans="1:4" s="283" customFormat="1" ht="14" x14ac:dyDescent="0.15"/>
    <row r="96" spans="1:4" s="283" customFormat="1" ht="14" x14ac:dyDescent="0.15"/>
    <row r="97" s="283" customFormat="1" ht="14" x14ac:dyDescent="0.15"/>
    <row r="98" s="283" customFormat="1" ht="14" x14ac:dyDescent="0.15"/>
    <row r="99" s="283" customFormat="1" ht="14" x14ac:dyDescent="0.15"/>
    <row r="100" s="283" customFormat="1" ht="14" x14ac:dyDescent="0.15"/>
    <row r="101" s="283" customFormat="1" ht="14" x14ac:dyDescent="0.15"/>
    <row r="102" s="283" customFormat="1" ht="14" x14ac:dyDescent="0.15"/>
    <row r="103" s="283" customFormat="1" ht="14" x14ac:dyDescent="0.15"/>
    <row r="104" s="283" customFormat="1" ht="14" x14ac:dyDescent="0.15"/>
    <row r="105" s="283" customFormat="1" ht="14" x14ac:dyDescent="0.15"/>
    <row r="106" s="283" customFormat="1" ht="14" x14ac:dyDescent="0.15"/>
    <row r="107" s="283" customFormat="1" ht="14" x14ac:dyDescent="0.15"/>
    <row r="108" s="283" customFormat="1" ht="14" x14ac:dyDescent="0.15"/>
    <row r="109" s="283" customFormat="1" ht="14" x14ac:dyDescent="0.15"/>
    <row r="110" s="283" customFormat="1" ht="14" x14ac:dyDescent="0.15"/>
    <row r="111" s="283" customFormat="1" ht="14" x14ac:dyDescent="0.15"/>
    <row r="112" s="283" customFormat="1" ht="14" x14ac:dyDescent="0.15"/>
    <row r="113" s="283" customFormat="1" ht="14" x14ac:dyDescent="0.15"/>
    <row r="114" s="283" customFormat="1" ht="14" x14ac:dyDescent="0.15"/>
    <row r="115" s="283" customFormat="1" ht="14" x14ac:dyDescent="0.15"/>
    <row r="116" s="283" customFormat="1" ht="14" x14ac:dyDescent="0.15"/>
    <row r="117" s="283" customFormat="1" ht="14" x14ac:dyDescent="0.15"/>
    <row r="118" s="283" customFormat="1" ht="14" x14ac:dyDescent="0.15"/>
    <row r="119" s="283" customFormat="1" ht="14" x14ac:dyDescent="0.15"/>
    <row r="120" s="283" customFormat="1" ht="14" x14ac:dyDescent="0.15"/>
    <row r="121" s="283" customFormat="1" ht="14" x14ac:dyDescent="0.15"/>
    <row r="122" s="283" customFormat="1" ht="14" x14ac:dyDescent="0.15"/>
    <row r="123" s="283" customFormat="1" ht="14" x14ac:dyDescent="0.15"/>
    <row r="124" s="283" customFormat="1" ht="14" x14ac:dyDescent="0.15"/>
    <row r="125" s="283" customFormat="1" ht="14" x14ac:dyDescent="0.15"/>
    <row r="126" s="283" customFormat="1" ht="14" x14ac:dyDescent="0.15"/>
    <row r="127" s="283" customFormat="1" ht="14" x14ac:dyDescent="0.15"/>
    <row r="128" s="283" customFormat="1" ht="14" x14ac:dyDescent="0.15"/>
    <row r="129" s="283" customFormat="1" ht="14" x14ac:dyDescent="0.15"/>
    <row r="130" s="283" customFormat="1" ht="14" x14ac:dyDescent="0.15"/>
    <row r="131" s="283" customFormat="1" ht="14" x14ac:dyDescent="0.15"/>
    <row r="132" s="283" customFormat="1" ht="14" x14ac:dyDescent="0.15"/>
    <row r="133" s="283" customFormat="1" ht="14" x14ac:dyDescent="0.15"/>
    <row r="134" s="283" customFormat="1" ht="14" x14ac:dyDescent="0.15"/>
    <row r="135" s="283" customFormat="1" ht="14" x14ac:dyDescent="0.15"/>
    <row r="136" s="283" customFormat="1" ht="14" x14ac:dyDescent="0.15"/>
    <row r="137" s="283" customFormat="1" ht="14" x14ac:dyDescent="0.15"/>
    <row r="138" s="283" customFormat="1" ht="14" x14ac:dyDescent="0.15"/>
    <row r="139" s="283" customFormat="1" ht="14" x14ac:dyDescent="0.15"/>
    <row r="140" s="283" customFormat="1" ht="14" x14ac:dyDescent="0.15"/>
    <row r="141" s="283" customFormat="1" ht="14" x14ac:dyDescent="0.15"/>
    <row r="142" s="283" customFormat="1" ht="14" x14ac:dyDescent="0.15"/>
    <row r="143" s="283" customFormat="1" ht="14" x14ac:dyDescent="0.15"/>
    <row r="144" s="283" customFormat="1" ht="14" x14ac:dyDescent="0.15"/>
    <row r="145" spans="1:10" s="283" customFormat="1" ht="14" x14ac:dyDescent="0.15"/>
    <row r="146" spans="1:10" s="283" customFormat="1" ht="14" x14ac:dyDescent="0.15"/>
    <row r="147" spans="1:10" s="283" customFormat="1" ht="14" x14ac:dyDescent="0.15"/>
    <row r="148" spans="1:10" s="283" customFormat="1" ht="14" x14ac:dyDescent="0.15"/>
    <row r="149" spans="1:10" s="283" customFormat="1" ht="14" x14ac:dyDescent="0.15"/>
    <row r="150" spans="1:10" s="283" customFormat="1" ht="14" x14ac:dyDescent="0.15"/>
    <row r="151" spans="1:10" s="283" customFormat="1" ht="14" x14ac:dyDescent="0.15"/>
    <row r="152" spans="1:10" s="283" customFormat="1" ht="14" x14ac:dyDescent="0.15"/>
    <row r="153" spans="1:10" s="283" customFormat="1" ht="14" x14ac:dyDescent="0.15"/>
    <row r="154" spans="1:10" ht="14" x14ac:dyDescent="0.15">
      <c r="A154" s="283"/>
      <c r="B154" s="283"/>
      <c r="C154" s="283"/>
      <c r="D154" s="283"/>
      <c r="E154" s="283"/>
      <c r="F154" s="283"/>
      <c r="G154" s="283"/>
      <c r="H154" s="283"/>
      <c r="I154" s="283"/>
      <c r="J154" s="283"/>
    </row>
    <row r="155" spans="1:10" ht="14" x14ac:dyDescent="0.15">
      <c r="A155" s="283"/>
      <c r="B155" s="283"/>
      <c r="C155" s="283"/>
      <c r="D155" s="283"/>
      <c r="E155" s="283"/>
      <c r="F155" s="283"/>
      <c r="G155" s="283"/>
      <c r="H155" s="283"/>
      <c r="I155" s="283"/>
      <c r="J155" s="283"/>
    </row>
    <row r="156" spans="1:10" ht="14" x14ac:dyDescent="0.15">
      <c r="A156" s="283"/>
      <c r="B156" s="283"/>
      <c r="C156" s="283"/>
      <c r="D156" s="283"/>
      <c r="E156" s="283"/>
      <c r="F156" s="283"/>
      <c r="G156" s="283"/>
      <c r="H156" s="283"/>
      <c r="I156" s="283"/>
      <c r="J156" s="283"/>
    </row>
    <row r="157" spans="1:10" ht="14" x14ac:dyDescent="0.15">
      <c r="A157" s="283"/>
      <c r="B157" s="283"/>
      <c r="C157" s="283"/>
      <c r="D157" s="283"/>
      <c r="E157" s="283"/>
      <c r="F157" s="283"/>
      <c r="G157" s="283"/>
      <c r="H157" s="283"/>
      <c r="I157" s="283"/>
      <c r="J157" s="283"/>
    </row>
    <row r="158" spans="1:10" ht="14" x14ac:dyDescent="0.15">
      <c r="A158" s="283"/>
      <c r="B158" s="283"/>
      <c r="C158" s="283"/>
      <c r="D158" s="283"/>
      <c r="E158" s="283"/>
      <c r="F158" s="283"/>
      <c r="G158" s="283"/>
      <c r="H158" s="283"/>
      <c r="I158" s="283"/>
      <c r="J158" s="283"/>
    </row>
    <row r="159" spans="1:10" ht="14" x14ac:dyDescent="0.15">
      <c r="A159" s="283"/>
      <c r="B159" s="283"/>
      <c r="C159" s="283"/>
      <c r="D159" s="283"/>
      <c r="E159" s="283"/>
      <c r="F159" s="283"/>
      <c r="G159" s="283"/>
      <c r="H159" s="283"/>
      <c r="I159" s="283"/>
      <c r="J159" s="283"/>
    </row>
    <row r="160" spans="1:10" ht="14" x14ac:dyDescent="0.15">
      <c r="A160" s="283"/>
      <c r="B160" s="283"/>
      <c r="C160" s="283"/>
      <c r="D160" s="283"/>
      <c r="E160" s="283"/>
      <c r="F160" s="283"/>
      <c r="G160" s="283"/>
      <c r="H160" s="283"/>
      <c r="I160" s="283"/>
      <c r="J160" s="283"/>
    </row>
    <row r="161" spans="1:4" ht="14" x14ac:dyDescent="0.15">
      <c r="A161" s="283"/>
      <c r="B161" s="283"/>
      <c r="C161" s="283"/>
      <c r="D161" s="283"/>
    </row>
    <row r="162" spans="1:4" ht="14" x14ac:dyDescent="0.15">
      <c r="A162" s="283"/>
      <c r="B162" s="283"/>
      <c r="C162" s="283"/>
      <c r="D162" s="283"/>
    </row>
    <row r="163" spans="1:4" ht="14" x14ac:dyDescent="0.15">
      <c r="A163" s="283"/>
      <c r="B163" s="283"/>
      <c r="C163" s="283"/>
      <c r="D163" s="283"/>
    </row>
    <row r="164" spans="1:4" ht="14" x14ac:dyDescent="0.15">
      <c r="A164" s="283"/>
      <c r="B164" s="283"/>
      <c r="C164" s="283"/>
      <c r="D164" s="283"/>
    </row>
    <row r="165" spans="1:4" ht="14" x14ac:dyDescent="0.15">
      <c r="A165" s="283"/>
      <c r="B165" s="283"/>
      <c r="C165" s="283"/>
      <c r="D165" s="283"/>
    </row>
    <row r="166" spans="1:4" ht="14" x14ac:dyDescent="0.15">
      <c r="A166" s="283"/>
      <c r="B166" s="283"/>
      <c r="C166" s="283"/>
      <c r="D166" s="283"/>
    </row>
    <row r="167" spans="1:4" ht="14" x14ac:dyDescent="0.15">
      <c r="A167" s="283"/>
      <c r="B167" s="283"/>
      <c r="C167" s="283"/>
      <c r="D167" s="283"/>
    </row>
  </sheetData>
  <sheetProtection sheet="1" objects="1" scenarios="1"/>
  <mergeCells count="29">
    <mergeCell ref="A6:D6"/>
    <mergeCell ref="E6:H6"/>
    <mergeCell ref="A2:J2"/>
    <mergeCell ref="A1:J1"/>
    <mergeCell ref="A3:J3"/>
    <mergeCell ref="A4:J4"/>
    <mergeCell ref="A30:J30"/>
    <mergeCell ref="A39:J39"/>
    <mergeCell ref="A40:A41"/>
    <mergeCell ref="A31:A32"/>
    <mergeCell ref="B40:D40"/>
    <mergeCell ref="H40:J40"/>
    <mergeCell ref="H31:J31"/>
    <mergeCell ref="A13:D13"/>
    <mergeCell ref="A59:D59"/>
    <mergeCell ref="B60:B61"/>
    <mergeCell ref="A12:D12"/>
    <mergeCell ref="A17:E17"/>
    <mergeCell ref="A52:D52"/>
    <mergeCell ref="A25:B25"/>
    <mergeCell ref="A26:B26"/>
    <mergeCell ref="A27:B27"/>
    <mergeCell ref="A28:B28"/>
    <mergeCell ref="A24:C24"/>
    <mergeCell ref="A53:D53"/>
    <mergeCell ref="E40:G40"/>
    <mergeCell ref="E31:G31"/>
    <mergeCell ref="B31:D31"/>
    <mergeCell ref="A23:F23"/>
  </mergeCells>
  <phoneticPr fontId="6" type="noConversion"/>
  <pageMargins left="0.59" right="0.39" top="0.75" bottom="0.75" header="0.31" footer="0.31"/>
  <pageSetup paperSize="9" scale="72" orientation="portrait" r:id="rId1"/>
  <headerFooter>
    <oddFooter>&amp;C&amp;"Calibri,Normal"&amp;8&amp;K000000Løntabel Foreningen af Kristne Friskoler og Krifa&amp;R&amp;"Calibri,Normal"&amp;8&amp;K000000&amp;P af i alt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84"/>
  <sheetViews>
    <sheetView view="pageBreakPreview" topLeftCell="A47" workbookViewId="0">
      <selection activeCell="A82" sqref="A82:J84"/>
    </sheetView>
  </sheetViews>
  <sheetFormatPr baseColWidth="10" defaultColWidth="8.83203125" defaultRowHeight="15" x14ac:dyDescent="0.2"/>
  <cols>
    <col min="1" max="1" width="13.33203125" customWidth="1"/>
    <col min="2" max="3" width="11.33203125" customWidth="1"/>
    <col min="4" max="6" width="9.83203125" customWidth="1"/>
    <col min="7" max="7" width="10.1640625" customWidth="1"/>
    <col min="8" max="8" width="8.83203125" customWidth="1"/>
    <col min="9" max="9" width="9.6640625" customWidth="1"/>
    <col min="10" max="10" width="20" customWidth="1"/>
    <col min="11" max="11" width="9.6640625" bestFit="1" customWidth="1"/>
  </cols>
  <sheetData>
    <row r="1" spans="1:20" ht="30" customHeight="1" thickBot="1" x14ac:dyDescent="0.25">
      <c r="A1" s="1494" t="s">
        <v>138</v>
      </c>
      <c r="B1" s="1495"/>
      <c r="C1" s="1495"/>
      <c r="D1" s="1495"/>
      <c r="E1" s="1495"/>
      <c r="F1" s="1495"/>
      <c r="G1" s="1495"/>
      <c r="H1" s="1496"/>
      <c r="I1" s="1501"/>
      <c r="J1" s="907"/>
    </row>
    <row r="2" spans="1:20" s="40" customFormat="1" ht="12" customHeight="1" thickBot="1" x14ac:dyDescent="0.25">
      <c r="A2" s="1500"/>
      <c r="B2" s="1500"/>
      <c r="C2" s="1500"/>
      <c r="D2" s="1500"/>
      <c r="E2" s="1500"/>
      <c r="F2" s="1500"/>
      <c r="G2" s="1500"/>
      <c r="H2" s="1500"/>
      <c r="I2" s="1500"/>
      <c r="J2" s="1500"/>
      <c r="K2" s="29"/>
      <c r="L2" s="29"/>
      <c r="M2" s="29"/>
    </row>
    <row r="3" spans="1:20" s="40" customFormat="1" ht="19" customHeight="1" thickBot="1" x14ac:dyDescent="0.25">
      <c r="A3" s="1007" t="s">
        <v>340</v>
      </c>
      <c r="B3" s="1008"/>
      <c r="C3" s="1008"/>
      <c r="D3" s="1008"/>
      <c r="E3" s="1008"/>
      <c r="F3" s="1008"/>
      <c r="G3" s="1008"/>
      <c r="H3" s="1009"/>
      <c r="I3" s="1502"/>
      <c r="J3" s="1503"/>
      <c r="K3" s="29"/>
    </row>
    <row r="4" spans="1:20" ht="21" customHeight="1" thickBot="1" x14ac:dyDescent="0.25">
      <c r="A4" s="108"/>
      <c r="B4" s="1517" t="s">
        <v>39</v>
      </c>
      <c r="C4" s="1518"/>
      <c r="D4" s="1518"/>
      <c r="E4" s="1518"/>
      <c r="F4" s="1518"/>
      <c r="G4" s="1518"/>
      <c r="H4" s="1519"/>
      <c r="I4" s="1502"/>
      <c r="J4" s="1503"/>
      <c r="K4" s="2"/>
    </row>
    <row r="5" spans="1:20" ht="15" customHeight="1" x14ac:dyDescent="0.2">
      <c r="A5" s="1524"/>
      <c r="B5" s="1507" t="s">
        <v>36</v>
      </c>
      <c r="C5" s="1508"/>
      <c r="D5" s="1507" t="s">
        <v>109</v>
      </c>
      <c r="E5" s="1508"/>
      <c r="F5" s="1507" t="s">
        <v>110</v>
      </c>
      <c r="G5" s="1508"/>
      <c r="H5" s="1526" t="s">
        <v>111</v>
      </c>
      <c r="I5" s="1502"/>
      <c r="J5" s="1503"/>
      <c r="K5" s="2"/>
    </row>
    <row r="6" spans="1:20" ht="33.75" customHeight="1" thickBot="1" x14ac:dyDescent="0.25">
      <c r="A6" s="1525"/>
      <c r="B6" s="1509"/>
      <c r="C6" s="1510"/>
      <c r="D6" s="1509"/>
      <c r="E6" s="1510"/>
      <c r="F6" s="1509"/>
      <c r="G6" s="1510"/>
      <c r="H6" s="1527"/>
      <c r="I6" s="1502"/>
      <c r="J6" s="1503"/>
      <c r="K6" s="2"/>
    </row>
    <row r="7" spans="1:20" ht="17" customHeight="1" x14ac:dyDescent="0.2">
      <c r="A7" s="109" t="s">
        <v>37</v>
      </c>
      <c r="B7" s="1511">
        <v>94.65</v>
      </c>
      <c r="C7" s="1512"/>
      <c r="D7" s="1511">
        <v>63.1</v>
      </c>
      <c r="E7" s="1512"/>
      <c r="F7" s="1521">
        <v>31.55</v>
      </c>
      <c r="G7" s="1521"/>
      <c r="H7" s="160">
        <v>0</v>
      </c>
      <c r="I7" s="1502"/>
      <c r="J7" s="1503"/>
      <c r="K7" s="2"/>
    </row>
    <row r="8" spans="1:20" ht="17" customHeight="1" thickBot="1" x14ac:dyDescent="0.25">
      <c r="A8" s="110" t="s">
        <v>38</v>
      </c>
      <c r="B8" s="1522">
        <v>189.35</v>
      </c>
      <c r="C8" s="1523"/>
      <c r="D8" s="1513">
        <v>126.25</v>
      </c>
      <c r="E8" s="1514"/>
      <c r="F8" s="1528">
        <v>63.1</v>
      </c>
      <c r="G8" s="1528"/>
      <c r="H8" s="161">
        <v>0</v>
      </c>
      <c r="I8" s="1502"/>
      <c r="J8" s="1503"/>
      <c r="K8" s="2"/>
    </row>
    <row r="9" spans="1:20" ht="17" customHeight="1" thickBot="1" x14ac:dyDescent="0.25">
      <c r="A9" s="111" t="s">
        <v>24</v>
      </c>
      <c r="B9" s="1520">
        <f>SUM(B7:C8)</f>
        <v>284</v>
      </c>
      <c r="C9" s="1520"/>
      <c r="D9" s="1515">
        <f>SUM(D7:E8)</f>
        <v>189.35</v>
      </c>
      <c r="E9" s="1516"/>
      <c r="F9" s="1520">
        <f>SUM(F7:G8)</f>
        <v>94.65</v>
      </c>
      <c r="G9" s="1520"/>
      <c r="H9" s="162">
        <f>SUM(H7:I8)</f>
        <v>0</v>
      </c>
      <c r="I9" s="1502"/>
      <c r="J9" s="1503"/>
      <c r="K9" s="163"/>
    </row>
    <row r="10" spans="1:20" ht="17" customHeight="1" x14ac:dyDescent="0.2">
      <c r="A10" s="1504" t="s">
        <v>341</v>
      </c>
      <c r="B10" s="1504"/>
      <c r="C10" s="1504"/>
      <c r="D10" s="1504"/>
      <c r="E10" s="1504"/>
      <c r="F10" s="1504"/>
      <c r="G10" s="1504"/>
      <c r="H10" s="1504"/>
      <c r="I10" s="1506"/>
      <c r="J10" s="1506"/>
      <c r="K10" s="6"/>
      <c r="L10" s="2"/>
      <c r="M10" s="163"/>
    </row>
    <row r="11" spans="1:20" ht="16" customHeight="1" thickBot="1" x14ac:dyDescent="0.25">
      <c r="A11" s="1505"/>
      <c r="B11" s="1505"/>
      <c r="C11" s="1505"/>
      <c r="D11" s="1505"/>
      <c r="E11" s="1505"/>
      <c r="F11" s="1505"/>
      <c r="G11" s="1505"/>
      <c r="H11" s="1505"/>
      <c r="I11" s="1505"/>
      <c r="J11" s="1505"/>
      <c r="K11" s="2"/>
      <c r="L11" s="2"/>
      <c r="M11" s="2"/>
    </row>
    <row r="12" spans="1:20" s="2" customFormat="1" ht="24" customHeight="1" thickBot="1" x14ac:dyDescent="0.2">
      <c r="A12" s="1440" t="s">
        <v>70</v>
      </c>
      <c r="B12" s="1441"/>
      <c r="C12" s="1441"/>
      <c r="D12" s="1441"/>
      <c r="E12" s="1441"/>
      <c r="F12" s="1441"/>
      <c r="G12" s="1441"/>
      <c r="H12" s="1442"/>
      <c r="M12" s="16"/>
      <c r="N12" s="16"/>
      <c r="O12" s="16"/>
      <c r="P12" s="16"/>
      <c r="Q12" s="16"/>
      <c r="R12" s="16"/>
      <c r="S12" s="16"/>
      <c r="T12" s="16"/>
    </row>
    <row r="13" spans="1:20" s="2" customFormat="1" ht="21" customHeight="1" thickBot="1" x14ac:dyDescent="0.2">
      <c r="A13" s="1529" t="s">
        <v>255</v>
      </c>
      <c r="B13" s="1530"/>
      <c r="C13" s="1530"/>
      <c r="D13" s="1530"/>
      <c r="E13" s="1530"/>
      <c r="F13" s="1530"/>
      <c r="G13" s="1531"/>
      <c r="H13" s="130" t="s">
        <v>69</v>
      </c>
      <c r="M13" s="16"/>
      <c r="N13" s="16"/>
      <c r="O13" s="16"/>
      <c r="P13" s="16"/>
      <c r="Q13" s="16"/>
      <c r="R13" s="16"/>
      <c r="S13" s="16"/>
      <c r="T13" s="16"/>
    </row>
    <row r="14" spans="1:20" s="2" customFormat="1" ht="17" customHeight="1" thickBot="1" x14ac:dyDescent="0.2">
      <c r="A14" s="1537" t="s">
        <v>71</v>
      </c>
      <c r="B14" s="1538"/>
      <c r="C14" s="1538"/>
      <c r="D14" s="1538"/>
      <c r="E14" s="1538"/>
      <c r="F14" s="1538"/>
      <c r="G14" s="1539"/>
      <c r="H14" s="131">
        <v>108.35</v>
      </c>
      <c r="M14" s="16"/>
      <c r="N14" s="16"/>
      <c r="O14" s="16"/>
      <c r="P14" s="16"/>
      <c r="Q14" s="16"/>
      <c r="R14" s="16"/>
      <c r="S14" s="16"/>
      <c r="T14" s="16"/>
    </row>
    <row r="15" spans="1:20" s="2" customFormat="1" ht="21" customHeight="1" thickBot="1" x14ac:dyDescent="0.2">
      <c r="A15" s="1540" t="s">
        <v>256</v>
      </c>
      <c r="B15" s="1541"/>
      <c r="C15" s="1541"/>
      <c r="D15" s="1541"/>
      <c r="E15" s="1541"/>
      <c r="F15" s="1541"/>
      <c r="G15" s="1542"/>
      <c r="H15" s="132" t="s">
        <v>96</v>
      </c>
      <c r="M15" s="16"/>
      <c r="N15" s="16"/>
      <c r="O15" s="16"/>
      <c r="P15" s="16"/>
      <c r="Q15" s="16"/>
      <c r="R15" s="16"/>
      <c r="S15" s="16"/>
      <c r="T15" s="16"/>
    </row>
    <row r="16" spans="1:20" s="2" customFormat="1" ht="16" customHeight="1" x14ac:dyDescent="0.15">
      <c r="A16" s="1543" t="s">
        <v>208</v>
      </c>
      <c r="B16" s="1544"/>
      <c r="C16" s="1544"/>
      <c r="D16" s="1544"/>
      <c r="E16" s="1544"/>
      <c r="F16" s="1544"/>
      <c r="G16" s="1545"/>
      <c r="H16" s="1549">
        <v>160</v>
      </c>
      <c r="M16" s="16"/>
      <c r="N16" s="16"/>
      <c r="O16" s="16"/>
      <c r="P16" s="16"/>
      <c r="Q16" s="16"/>
      <c r="R16" s="16"/>
      <c r="S16" s="16"/>
      <c r="T16" s="16"/>
    </row>
    <row r="17" spans="1:20" s="2" customFormat="1" ht="16" customHeight="1" thickBot="1" x14ac:dyDescent="0.2">
      <c r="A17" s="1546"/>
      <c r="B17" s="1547"/>
      <c r="C17" s="1547"/>
      <c r="D17" s="1547"/>
      <c r="E17" s="1547"/>
      <c r="F17" s="1547"/>
      <c r="G17" s="1548"/>
      <c r="H17" s="1550"/>
      <c r="M17" s="16"/>
      <c r="N17" s="16"/>
      <c r="O17" s="16"/>
      <c r="P17" s="16"/>
      <c r="Q17" s="16"/>
      <c r="R17" s="16"/>
      <c r="S17" s="16"/>
      <c r="T17" s="16"/>
    </row>
    <row r="18" spans="1:20" s="2" customFormat="1" ht="21" customHeight="1" thickBot="1" x14ac:dyDescent="0.2">
      <c r="A18" s="1540" t="s">
        <v>257</v>
      </c>
      <c r="B18" s="1541"/>
      <c r="C18" s="1541"/>
      <c r="D18" s="1541"/>
      <c r="E18" s="1541"/>
      <c r="F18" s="1541"/>
      <c r="G18" s="1542"/>
      <c r="H18" s="132" t="s">
        <v>96</v>
      </c>
      <c r="M18" s="16"/>
      <c r="N18" s="16"/>
      <c r="O18" s="16"/>
      <c r="P18" s="16"/>
      <c r="Q18" s="16"/>
      <c r="R18" s="16"/>
      <c r="S18" s="16"/>
      <c r="T18" s="16"/>
    </row>
    <row r="19" spans="1:20" s="2" customFormat="1" ht="16" customHeight="1" x14ac:dyDescent="0.15">
      <c r="A19" s="1543" t="s">
        <v>208</v>
      </c>
      <c r="B19" s="1544"/>
      <c r="C19" s="1544"/>
      <c r="D19" s="1544"/>
      <c r="E19" s="1544"/>
      <c r="F19" s="1544"/>
      <c r="G19" s="1545"/>
      <c r="H19" s="1549">
        <v>130</v>
      </c>
      <c r="M19" s="16"/>
      <c r="N19" s="16"/>
      <c r="O19" s="16"/>
      <c r="P19" s="16"/>
      <c r="Q19" s="16"/>
      <c r="R19" s="16"/>
      <c r="S19" s="16"/>
      <c r="T19" s="16"/>
    </row>
    <row r="20" spans="1:20" s="2" customFormat="1" ht="16" customHeight="1" thickBot="1" x14ac:dyDescent="0.2">
      <c r="A20" s="1546"/>
      <c r="B20" s="1547"/>
      <c r="C20" s="1547"/>
      <c r="D20" s="1547"/>
      <c r="E20" s="1547"/>
      <c r="F20" s="1547"/>
      <c r="G20" s="1548"/>
      <c r="H20" s="1550"/>
      <c r="M20" s="16"/>
      <c r="N20" s="16"/>
      <c r="O20" s="16"/>
      <c r="P20" s="16"/>
      <c r="Q20" s="16"/>
      <c r="R20" s="16"/>
      <c r="S20" s="16"/>
      <c r="T20" s="16"/>
    </row>
    <row r="21" spans="1:20" ht="26" customHeight="1" thickBot="1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"/>
      <c r="L21" s="2"/>
      <c r="M21" s="2"/>
    </row>
    <row r="22" spans="1:20" ht="24" customHeight="1" thickBot="1" x14ac:dyDescent="0.25">
      <c r="A22" s="1007" t="s">
        <v>343</v>
      </c>
      <c r="B22" s="1008"/>
      <c r="C22" s="1008"/>
      <c r="D22" s="1008"/>
      <c r="E22" s="1008"/>
      <c r="F22" s="1008"/>
      <c r="G22" s="1008"/>
      <c r="H22" s="1009"/>
      <c r="I22" s="47"/>
      <c r="J22" s="47"/>
      <c r="K22" s="47"/>
      <c r="L22" s="2"/>
      <c r="M22" s="2"/>
      <c r="N22" s="2"/>
    </row>
    <row r="23" spans="1:20" x14ac:dyDescent="0.2">
      <c r="A23" s="1552" t="s">
        <v>40</v>
      </c>
      <c r="B23" s="1507" t="s">
        <v>44</v>
      </c>
      <c r="C23" s="1533"/>
      <c r="D23" s="1508"/>
      <c r="E23" s="1507" t="s">
        <v>44</v>
      </c>
      <c r="F23" s="1533"/>
      <c r="G23" s="1533"/>
      <c r="H23" s="1508"/>
      <c r="I23" s="1532"/>
      <c r="J23" s="1532"/>
      <c r="K23" s="1532"/>
      <c r="L23" s="2"/>
      <c r="M23" s="2"/>
      <c r="N23" s="2"/>
    </row>
    <row r="24" spans="1:20" ht="19.5" customHeight="1" thickBot="1" x14ac:dyDescent="0.25">
      <c r="A24" s="1525"/>
      <c r="B24" s="1534">
        <v>40999</v>
      </c>
      <c r="C24" s="1535"/>
      <c r="D24" s="1536"/>
      <c r="E24" s="1534" t="str">
        <f>'Løntabel gældende fra'!$D$1</f>
        <v>01/04/17</v>
      </c>
      <c r="F24" s="1535"/>
      <c r="G24" s="1535"/>
      <c r="H24" s="1536"/>
      <c r="I24" s="1532"/>
      <c r="J24" s="1532"/>
      <c r="K24" s="1532"/>
      <c r="L24" s="2"/>
      <c r="M24" s="2"/>
      <c r="N24" s="2"/>
    </row>
    <row r="25" spans="1:20" ht="14" customHeight="1" x14ac:dyDescent="0.2">
      <c r="A25" s="104" t="s">
        <v>41</v>
      </c>
      <c r="B25" s="1558">
        <v>6000</v>
      </c>
      <c r="C25" s="1559"/>
      <c r="D25" s="1560"/>
      <c r="E25" s="1553">
        <f>B25+B25*'Løntabel gældende fra'!$D$7%</f>
        <v>6254.6760000000004</v>
      </c>
      <c r="F25" s="1553"/>
      <c r="G25" s="1553"/>
      <c r="H25" s="1554"/>
      <c r="I25" s="1555"/>
      <c r="J25" s="1555"/>
      <c r="K25" s="27"/>
      <c r="L25" s="2"/>
      <c r="M25" s="2"/>
      <c r="N25" s="2"/>
    </row>
    <row r="26" spans="1:20" ht="14" customHeight="1" x14ac:dyDescent="0.2">
      <c r="A26" s="105" t="s">
        <v>42</v>
      </c>
      <c r="B26" s="1561">
        <v>7600</v>
      </c>
      <c r="C26" s="1562"/>
      <c r="D26" s="1563"/>
      <c r="E26" s="1556">
        <f>B26+B26*'Løntabel gældende fra'!$D$7%</f>
        <v>7922.5896000000002</v>
      </c>
      <c r="F26" s="1556"/>
      <c r="G26" s="1556"/>
      <c r="H26" s="1557"/>
      <c r="I26" s="1551"/>
      <c r="J26" s="1551"/>
      <c r="K26" s="28"/>
      <c r="L26" s="2"/>
      <c r="M26" s="2"/>
      <c r="N26" s="2"/>
    </row>
    <row r="27" spans="1:20" ht="14" customHeight="1" thickBot="1" x14ac:dyDescent="0.25">
      <c r="A27" s="106" t="s">
        <v>43</v>
      </c>
      <c r="B27" s="1571">
        <v>9000</v>
      </c>
      <c r="C27" s="1572"/>
      <c r="D27" s="1573"/>
      <c r="E27" s="1569">
        <f>B27+B27*'Løntabel gældende fra'!$D$7%</f>
        <v>9382.0139999999992</v>
      </c>
      <c r="F27" s="1569"/>
      <c r="G27" s="1569"/>
      <c r="H27" s="1570"/>
      <c r="I27" s="1551"/>
      <c r="J27" s="1551"/>
      <c r="K27" s="28"/>
      <c r="L27" s="2"/>
      <c r="M27" s="2"/>
      <c r="N27" s="2"/>
    </row>
    <row r="28" spans="1:20" ht="17" customHeight="1" thickBo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20" ht="24" customHeight="1" thickBot="1" x14ac:dyDescent="0.25">
      <c r="A29" s="1007" t="s">
        <v>275</v>
      </c>
      <c r="B29" s="1008"/>
      <c r="C29" s="1008"/>
      <c r="D29" s="1008"/>
      <c r="E29" s="1008"/>
      <c r="F29" s="1008"/>
      <c r="G29" s="1008"/>
      <c r="H29" s="1009"/>
      <c r="I29" s="245"/>
      <c r="J29" s="29"/>
      <c r="K29" s="29"/>
      <c r="L29" s="2"/>
      <c r="M29" s="2"/>
    </row>
    <row r="30" spans="1:20" ht="24" customHeight="1" thickBot="1" x14ac:dyDescent="0.25">
      <c r="A30" s="1271">
        <v>2017</v>
      </c>
      <c r="B30" s="1272"/>
      <c r="C30" s="1272"/>
      <c r="D30" s="1273"/>
      <c r="E30" s="984" t="s">
        <v>146</v>
      </c>
      <c r="F30" s="985"/>
      <c r="G30" s="1470" t="s">
        <v>147</v>
      </c>
      <c r="H30" s="1472"/>
      <c r="I30" s="830"/>
      <c r="J30" s="830"/>
      <c r="K30" s="30"/>
      <c r="L30" s="29"/>
      <c r="M30" s="2"/>
      <c r="N30" s="2"/>
    </row>
    <row r="31" spans="1:20" ht="48" customHeight="1" thickBot="1" x14ac:dyDescent="0.25">
      <c r="A31" s="1566"/>
      <c r="B31" s="1567"/>
      <c r="C31" s="1567"/>
      <c r="D31" s="1568"/>
      <c r="E31" s="781" t="s">
        <v>413</v>
      </c>
      <c r="F31" s="781" t="s">
        <v>418</v>
      </c>
      <c r="G31" s="693" t="s">
        <v>413</v>
      </c>
      <c r="H31" s="782" t="s">
        <v>418</v>
      </c>
      <c r="I31" s="830"/>
      <c r="J31" s="830"/>
      <c r="K31" s="30"/>
      <c r="L31" s="29"/>
      <c r="M31" s="2"/>
      <c r="N31" s="2"/>
    </row>
    <row r="32" spans="1:20" ht="17" customHeight="1" x14ac:dyDescent="0.2">
      <c r="A32" s="1473" t="s">
        <v>148</v>
      </c>
      <c r="B32" s="1474"/>
      <c r="C32" s="1474"/>
      <c r="D32" s="829"/>
      <c r="E32" s="783">
        <v>418</v>
      </c>
      <c r="F32" s="241">
        <f>E32/24</f>
        <v>17.416666666666668</v>
      </c>
      <c r="G32" s="316">
        <v>487</v>
      </c>
      <c r="H32" s="787">
        <f>G32/24</f>
        <v>20.291666666666668</v>
      </c>
      <c r="I32" s="240"/>
      <c r="K32" s="54"/>
      <c r="L32" s="29"/>
      <c r="M32" s="2"/>
      <c r="N32" s="2"/>
    </row>
    <row r="33" spans="1:14" ht="17" customHeight="1" x14ac:dyDescent="0.2">
      <c r="A33" s="1564" t="s">
        <v>422</v>
      </c>
      <c r="B33" s="1565"/>
      <c r="C33" s="1565"/>
      <c r="D33" s="828"/>
      <c r="E33" s="784">
        <f>(E32*15)/100</f>
        <v>62.7</v>
      </c>
      <c r="F33" s="242">
        <f t="shared" ref="F33:F37" si="0">E33/24</f>
        <v>2.6125000000000003</v>
      </c>
      <c r="G33" s="317">
        <f>(G32*15)/100</f>
        <v>73.05</v>
      </c>
      <c r="H33" s="788">
        <f t="shared" ref="H33:H37" si="1">G33/24</f>
        <v>3.0437499999999997</v>
      </c>
      <c r="I33" s="240"/>
      <c r="K33" s="55"/>
      <c r="L33" s="320"/>
      <c r="M33" s="2"/>
      <c r="N33" s="2"/>
    </row>
    <row r="34" spans="1:14" ht="17" customHeight="1" x14ac:dyDescent="0.2">
      <c r="A34" s="1564" t="s">
        <v>423</v>
      </c>
      <c r="B34" s="1565"/>
      <c r="C34" s="1565"/>
      <c r="D34" s="828"/>
      <c r="E34" s="784">
        <f>(E32*30)/100</f>
        <v>125.4</v>
      </c>
      <c r="F34" s="242">
        <f t="shared" si="0"/>
        <v>5.2250000000000005</v>
      </c>
      <c r="G34" s="318">
        <f>(G32*30)/100</f>
        <v>146.1</v>
      </c>
      <c r="H34" s="788">
        <f t="shared" si="1"/>
        <v>6.0874999999999995</v>
      </c>
      <c r="I34" s="240"/>
      <c r="K34" s="56"/>
      <c r="L34" s="29"/>
      <c r="M34" s="2"/>
      <c r="N34" s="2"/>
    </row>
    <row r="35" spans="1:14" ht="17" customHeight="1" x14ac:dyDescent="0.2">
      <c r="A35" s="1564" t="s">
        <v>424</v>
      </c>
      <c r="B35" s="1565"/>
      <c r="C35" s="1565"/>
      <c r="D35" s="828"/>
      <c r="E35" s="784">
        <f>(E32*30)/100</f>
        <v>125.4</v>
      </c>
      <c r="F35" s="242">
        <f t="shared" si="0"/>
        <v>5.2250000000000005</v>
      </c>
      <c r="G35" s="319">
        <f>(G32*30)/100</f>
        <v>146.1</v>
      </c>
      <c r="H35" s="788">
        <f t="shared" si="1"/>
        <v>6.0874999999999995</v>
      </c>
      <c r="I35" s="240"/>
      <c r="K35" s="57"/>
      <c r="L35" s="29"/>
      <c r="M35" s="2"/>
      <c r="N35" s="2"/>
    </row>
    <row r="36" spans="1:14" ht="17" customHeight="1" x14ac:dyDescent="0.2">
      <c r="A36" s="1564" t="s">
        <v>425</v>
      </c>
      <c r="B36" s="1565"/>
      <c r="C36" s="1565"/>
      <c r="D36" s="828"/>
      <c r="E36" s="784">
        <f>(E32*75)/100</f>
        <v>313.5</v>
      </c>
      <c r="F36" s="242">
        <f t="shared" si="0"/>
        <v>13.0625</v>
      </c>
      <c r="G36" s="318">
        <f>(G32*75)/100</f>
        <v>365.25</v>
      </c>
      <c r="H36" s="788">
        <f t="shared" si="1"/>
        <v>15.21875</v>
      </c>
      <c r="I36" s="240"/>
      <c r="K36" s="57"/>
      <c r="L36" s="29"/>
      <c r="M36" s="2"/>
      <c r="N36" s="2"/>
    </row>
    <row r="37" spans="1:14" ht="17" customHeight="1" thickBot="1" x14ac:dyDescent="0.25">
      <c r="A37" s="1455" t="s">
        <v>60</v>
      </c>
      <c r="B37" s="1456"/>
      <c r="C37" s="1456"/>
      <c r="D37" s="831"/>
      <c r="E37" s="785">
        <f>E32-E36</f>
        <v>104.5</v>
      </c>
      <c r="F37" s="243">
        <f t="shared" si="0"/>
        <v>4.354166666666667</v>
      </c>
      <c r="G37" s="594">
        <f>G32-G36</f>
        <v>121.75</v>
      </c>
      <c r="H37" s="789">
        <f t="shared" si="1"/>
        <v>5.072916666666667</v>
      </c>
      <c r="I37" s="240"/>
      <c r="K37" s="57"/>
      <c r="L37" s="29"/>
      <c r="M37" s="2"/>
      <c r="N37" s="2"/>
    </row>
    <row r="38" spans="1:14" ht="26" customHeight="1" thickBot="1" x14ac:dyDescent="0.25">
      <c r="A38" s="87"/>
      <c r="B38" s="87"/>
      <c r="C38" s="87"/>
      <c r="D38" s="113"/>
      <c r="E38" s="113"/>
      <c r="F38" s="113"/>
      <c r="G38" s="786"/>
      <c r="H38" s="240"/>
      <c r="J38" s="29"/>
      <c r="K38" s="29"/>
      <c r="L38" s="2"/>
      <c r="M38" s="2"/>
    </row>
    <row r="39" spans="1:14" ht="24" customHeight="1" thickBot="1" x14ac:dyDescent="0.25">
      <c r="A39" s="1007" t="s">
        <v>61</v>
      </c>
      <c r="B39" s="1008"/>
      <c r="C39" s="1008"/>
      <c r="D39" s="1008"/>
      <c r="E39" s="1008"/>
      <c r="F39" s="1008"/>
      <c r="G39" s="1008"/>
      <c r="H39" s="1009"/>
      <c r="I39" s="827"/>
      <c r="J39" s="827"/>
      <c r="K39" s="2"/>
      <c r="L39" s="2"/>
      <c r="M39" s="2"/>
    </row>
    <row r="40" spans="1:14" ht="24" customHeight="1" x14ac:dyDescent="0.2">
      <c r="A40" s="1461">
        <v>2017</v>
      </c>
      <c r="B40" s="1462"/>
      <c r="C40" s="1462"/>
      <c r="D40" s="1462"/>
      <c r="E40" s="1462"/>
      <c r="F40" s="1462"/>
      <c r="G40" s="1463"/>
      <c r="H40" s="133" t="s">
        <v>69</v>
      </c>
      <c r="I40" s="826"/>
      <c r="J40" s="827"/>
      <c r="K40" s="827"/>
      <c r="L40" s="2"/>
      <c r="M40" s="2"/>
      <c r="N40" s="2"/>
    </row>
    <row r="41" spans="1:14" ht="17" customHeight="1" x14ac:dyDescent="0.2">
      <c r="A41" s="1457" t="s">
        <v>145</v>
      </c>
      <c r="B41" s="1458"/>
      <c r="C41" s="1458"/>
      <c r="D41" s="1458"/>
      <c r="E41" s="694"/>
      <c r="F41" s="694"/>
      <c r="G41" s="832"/>
      <c r="H41" s="134">
        <v>1.93</v>
      </c>
      <c r="I41" s="826"/>
      <c r="J41" s="827"/>
      <c r="K41" s="827"/>
      <c r="L41" s="2"/>
      <c r="M41" s="2"/>
      <c r="N41" s="2"/>
    </row>
    <row r="42" spans="1:14" ht="17" customHeight="1" thickBot="1" x14ac:dyDescent="0.25">
      <c r="A42" s="1459" t="s">
        <v>62</v>
      </c>
      <c r="B42" s="1460"/>
      <c r="C42" s="1460"/>
      <c r="D42" s="1460"/>
      <c r="E42" s="695"/>
      <c r="F42" s="695"/>
      <c r="G42" s="833"/>
      <c r="H42" s="135">
        <v>3.53</v>
      </c>
      <c r="I42" s="825"/>
      <c r="J42" s="825"/>
      <c r="K42" s="825"/>
    </row>
    <row r="43" spans="1:14" ht="18" customHeight="1" x14ac:dyDescent="0.2">
      <c r="A43" s="1464" t="s">
        <v>416</v>
      </c>
      <c r="B43" s="1464"/>
      <c r="C43" s="1464"/>
      <c r="D43" s="1464"/>
      <c r="E43" s="696"/>
      <c r="F43" s="696"/>
      <c r="G43" s="49"/>
      <c r="H43" s="825"/>
      <c r="I43" s="825"/>
      <c r="J43" s="825"/>
    </row>
    <row r="44" spans="1:14" ht="23.25" customHeight="1" thickBot="1" x14ac:dyDescent="0.25">
      <c r="A44" s="907"/>
      <c r="B44" s="907"/>
      <c r="C44" s="907"/>
      <c r="D44" s="907"/>
      <c r="E44" s="907"/>
      <c r="F44" s="907"/>
      <c r="G44" s="907"/>
      <c r="H44" s="907"/>
      <c r="I44" s="907"/>
      <c r="J44" s="907"/>
    </row>
    <row r="45" spans="1:14" ht="24" customHeight="1" thickBot="1" x14ac:dyDescent="0.25">
      <c r="A45" s="1007" t="s">
        <v>66</v>
      </c>
      <c r="B45" s="1008"/>
      <c r="C45" s="1008"/>
      <c r="D45" s="1008"/>
      <c r="E45" s="1008"/>
      <c r="F45" s="1008"/>
      <c r="G45" s="1008"/>
      <c r="H45" s="1009"/>
    </row>
    <row r="46" spans="1:14" ht="19" customHeight="1" thickBot="1" x14ac:dyDescent="0.25">
      <c r="A46" s="1470">
        <v>2017</v>
      </c>
      <c r="B46" s="1471"/>
      <c r="C46" s="1471"/>
      <c r="D46" s="1471"/>
      <c r="E46" s="1471"/>
      <c r="F46" s="1471"/>
      <c r="G46" s="1472"/>
      <c r="H46" s="112" t="s">
        <v>69</v>
      </c>
    </row>
    <row r="47" spans="1:14" ht="17" customHeight="1" x14ac:dyDescent="0.2">
      <c r="A47" s="1473" t="s">
        <v>67</v>
      </c>
      <c r="B47" s="1474"/>
      <c r="C47" s="1474"/>
      <c r="D47" s="1474"/>
      <c r="E47" s="1474"/>
      <c r="F47" s="1474"/>
      <c r="G47" s="1475"/>
      <c r="H47" s="136">
        <v>849</v>
      </c>
    </row>
    <row r="48" spans="1:14" ht="17" customHeight="1" thickBot="1" x14ac:dyDescent="0.25">
      <c r="A48" s="1476" t="s">
        <v>68</v>
      </c>
      <c r="B48" s="1477"/>
      <c r="C48" s="1477"/>
      <c r="D48" s="1477"/>
      <c r="E48" s="1477"/>
      <c r="F48" s="1477"/>
      <c r="G48" s="1478"/>
      <c r="H48" s="135">
        <v>566</v>
      </c>
    </row>
    <row r="49" spans="1:16" ht="16" customHeight="1" x14ac:dyDescent="0.2">
      <c r="A49" s="1468" t="s">
        <v>258</v>
      </c>
      <c r="B49" s="1469"/>
      <c r="C49" s="1469"/>
      <c r="D49" s="1469"/>
      <c r="E49" s="1469"/>
      <c r="F49" s="1469"/>
      <c r="G49" s="1469"/>
      <c r="H49" s="1469"/>
    </row>
    <row r="50" spans="1:16" x14ac:dyDescent="0.2">
      <c r="A50" s="834"/>
      <c r="B50" s="834"/>
      <c r="C50" s="834"/>
      <c r="D50" s="834"/>
      <c r="E50" s="834"/>
      <c r="F50" s="834"/>
      <c r="G50" s="834"/>
    </row>
    <row r="51" spans="1:16" ht="17" customHeight="1" thickBot="1" x14ac:dyDescent="0.25">
      <c r="A51" s="907"/>
      <c r="B51" s="907"/>
      <c r="C51" s="907"/>
      <c r="D51" s="907"/>
      <c r="E51" s="907"/>
      <c r="F51" s="907"/>
      <c r="G51" s="907"/>
      <c r="H51" s="907"/>
      <c r="I51" s="907"/>
      <c r="J51" s="907"/>
    </row>
    <row r="52" spans="1:16" ht="17" customHeight="1" x14ac:dyDescent="0.2">
      <c r="A52" s="1099" t="s">
        <v>211</v>
      </c>
      <c r="B52" s="1100"/>
      <c r="C52" s="1100"/>
      <c r="D52" s="1100"/>
      <c r="E52" s="1100"/>
      <c r="F52" s="1100"/>
      <c r="G52" s="1100"/>
      <c r="H52" s="1101"/>
      <c r="I52" s="825"/>
      <c r="J52" s="825"/>
      <c r="K52" s="825"/>
    </row>
    <row r="53" spans="1:16" ht="34" customHeight="1" thickBot="1" x14ac:dyDescent="0.25">
      <c r="A53" s="1465" t="s">
        <v>417</v>
      </c>
      <c r="B53" s="1466"/>
      <c r="C53" s="1466"/>
      <c r="D53" s="1466"/>
      <c r="E53" s="1466"/>
      <c r="F53" s="1466"/>
      <c r="G53" s="1466"/>
      <c r="H53" s="1467"/>
      <c r="I53" s="835"/>
      <c r="J53" s="835"/>
      <c r="K53" s="835"/>
    </row>
    <row r="54" spans="1:16" ht="14" customHeight="1" x14ac:dyDescent="0.2">
      <c r="A54" s="1479" t="s">
        <v>29</v>
      </c>
      <c r="B54" s="1480"/>
      <c r="C54" s="1480"/>
      <c r="D54" s="1481"/>
      <c r="E54" s="1479" t="s">
        <v>30</v>
      </c>
      <c r="F54" s="1480"/>
      <c r="G54" s="1480"/>
      <c r="H54" s="1481"/>
      <c r="I54" s="1498"/>
      <c r="J54" s="1499"/>
      <c r="K54" s="1499"/>
      <c r="L54" s="1499"/>
      <c r="M54" s="1499"/>
      <c r="N54" s="1499"/>
      <c r="O54" s="1499"/>
      <c r="P54" s="1499"/>
    </row>
    <row r="55" spans="1:16" ht="17" customHeight="1" x14ac:dyDescent="0.2">
      <c r="A55" s="1482">
        <v>40999</v>
      </c>
      <c r="B55" s="1483"/>
      <c r="C55" s="1483"/>
      <c r="D55" s="1484"/>
      <c r="E55" s="1488">
        <v>0</v>
      </c>
      <c r="F55" s="1489"/>
      <c r="G55" s="1489"/>
      <c r="H55" s="1490"/>
      <c r="I55" s="1498"/>
      <c r="J55" s="1499"/>
      <c r="K55" s="1499"/>
      <c r="L55" s="1499"/>
      <c r="M55" s="1499"/>
      <c r="N55" s="1499"/>
      <c r="O55" s="1499"/>
      <c r="P55" s="1499"/>
    </row>
    <row r="56" spans="1:16" ht="17" customHeight="1" x14ac:dyDescent="0.2">
      <c r="A56" s="1482">
        <v>41000</v>
      </c>
      <c r="B56" s="1483"/>
      <c r="C56" s="1483"/>
      <c r="D56" s="1484"/>
      <c r="E56" s="1488">
        <v>1.304</v>
      </c>
      <c r="F56" s="1489"/>
      <c r="G56" s="1489"/>
      <c r="H56" s="1490"/>
      <c r="I56" s="1498"/>
      <c r="J56" s="1499"/>
      <c r="K56" s="1499"/>
      <c r="L56" s="1499"/>
      <c r="M56" s="1499"/>
      <c r="N56" s="1499"/>
      <c r="O56" s="1499"/>
      <c r="P56" s="1499"/>
    </row>
    <row r="57" spans="1:16" ht="17" customHeight="1" x14ac:dyDescent="0.2">
      <c r="A57" s="1482">
        <v>41365</v>
      </c>
      <c r="B57" s="1483"/>
      <c r="C57" s="1483"/>
      <c r="D57" s="1484"/>
      <c r="E57" s="1488">
        <v>1.304</v>
      </c>
      <c r="F57" s="1489"/>
      <c r="G57" s="1489"/>
      <c r="H57" s="1490"/>
      <c r="I57" s="1498"/>
      <c r="J57" s="1499"/>
      <c r="K57" s="1499"/>
      <c r="L57" s="1499"/>
      <c r="M57" s="1499"/>
      <c r="N57" s="1499"/>
      <c r="O57" s="1499"/>
      <c r="P57" s="1499"/>
    </row>
    <row r="58" spans="1:16" ht="17" customHeight="1" x14ac:dyDescent="0.2">
      <c r="A58" s="1482">
        <v>41730</v>
      </c>
      <c r="B58" s="1483"/>
      <c r="C58" s="1483"/>
      <c r="D58" s="1484"/>
      <c r="E58" s="1488">
        <v>1.7161999999999999</v>
      </c>
      <c r="F58" s="1489"/>
      <c r="G58" s="1489"/>
      <c r="H58" s="1490"/>
      <c r="I58" s="1498"/>
      <c r="J58" s="1499"/>
      <c r="K58" s="1499"/>
      <c r="L58" s="1499"/>
      <c r="M58" s="1499"/>
      <c r="N58" s="1499"/>
      <c r="O58" s="1499"/>
      <c r="P58" s="1499"/>
    </row>
    <row r="59" spans="1:16" ht="17" customHeight="1" x14ac:dyDescent="0.2">
      <c r="A59" s="1482">
        <v>42095</v>
      </c>
      <c r="B59" s="1483"/>
      <c r="C59" s="1483"/>
      <c r="D59" s="1484"/>
      <c r="E59" s="1488">
        <v>2.1745000000000001</v>
      </c>
      <c r="F59" s="1489"/>
      <c r="G59" s="1489"/>
      <c r="H59" s="1490"/>
      <c r="I59" s="1498"/>
      <c r="J59" s="1499"/>
      <c r="K59" s="1499"/>
      <c r="L59" s="1499"/>
      <c r="M59" s="1499"/>
      <c r="N59" s="1499"/>
      <c r="O59" s="1499"/>
      <c r="P59" s="1499"/>
    </row>
    <row r="60" spans="1:16" ht="17" customHeight="1" thickBot="1" x14ac:dyDescent="0.25">
      <c r="A60" s="1485">
        <v>42461</v>
      </c>
      <c r="B60" s="1486"/>
      <c r="C60" s="1486"/>
      <c r="D60" s="1487"/>
      <c r="E60" s="1488">
        <v>2.9882</v>
      </c>
      <c r="F60" s="1489"/>
      <c r="G60" s="1489"/>
      <c r="H60" s="1490"/>
      <c r="I60" s="1498"/>
      <c r="J60" s="1499"/>
      <c r="K60" s="1499"/>
      <c r="L60" s="1499"/>
      <c r="M60" s="1499"/>
      <c r="N60" s="1499"/>
      <c r="O60" s="1499"/>
      <c r="P60" s="1499"/>
    </row>
    <row r="61" spans="1:16" ht="17" customHeight="1" thickBot="1" x14ac:dyDescent="0.25">
      <c r="A61" s="1485">
        <v>42826</v>
      </c>
      <c r="B61" s="1486"/>
      <c r="C61" s="1486"/>
      <c r="D61" s="1487"/>
      <c r="E61" s="1491">
        <v>4.2446000000000002</v>
      </c>
      <c r="F61" s="1492"/>
      <c r="G61" s="1492"/>
      <c r="H61" s="1493"/>
      <c r="I61" s="1498"/>
      <c r="J61" s="1499"/>
      <c r="K61" s="1499"/>
      <c r="L61" s="1499"/>
      <c r="M61" s="1499"/>
      <c r="N61" s="1499"/>
      <c r="O61" s="1499"/>
      <c r="P61" s="1499"/>
    </row>
    <row r="62" spans="1:16" ht="22" customHeight="1" thickBot="1" x14ac:dyDescent="0.25">
      <c r="A62" s="1497"/>
      <c r="B62" s="1497"/>
      <c r="C62" s="1497"/>
      <c r="D62" s="1497"/>
      <c r="E62" s="1497"/>
      <c r="F62" s="1497"/>
      <c r="G62" s="1497"/>
      <c r="H62" s="1497"/>
      <c r="I62" s="1497"/>
      <c r="J62" s="1497"/>
    </row>
    <row r="63" spans="1:16" ht="25" customHeight="1" thickBot="1" x14ac:dyDescent="0.25">
      <c r="A63" s="1574" t="s">
        <v>77</v>
      </c>
      <c r="B63" s="1575"/>
      <c r="C63" s="1575"/>
      <c r="D63" s="1575"/>
      <c r="E63" s="1575"/>
      <c r="F63" s="1575"/>
      <c r="G63" s="1575"/>
      <c r="H63" s="1575"/>
      <c r="I63" s="1575"/>
      <c r="J63" s="1576"/>
    </row>
    <row r="64" spans="1:16" ht="16" thickBot="1" x14ac:dyDescent="0.25">
      <c r="A64" s="1583" t="s">
        <v>78</v>
      </c>
      <c r="B64" s="1584"/>
      <c r="C64" s="1584"/>
      <c r="D64" s="1584"/>
      <c r="E64" s="1584"/>
      <c r="F64" s="1584"/>
      <c r="G64" s="1584"/>
      <c r="H64" s="1584"/>
      <c r="I64" s="1584"/>
      <c r="J64" s="1585"/>
    </row>
    <row r="65" spans="1:10" x14ac:dyDescent="0.2">
      <c r="A65" s="1577" t="s">
        <v>272</v>
      </c>
      <c r="B65" s="1578"/>
      <c r="C65" s="1578"/>
      <c r="D65" s="1578"/>
      <c r="E65" s="1578"/>
      <c r="F65" s="1578"/>
      <c r="G65" s="1578"/>
      <c r="H65" s="1578"/>
      <c r="I65" s="1578"/>
      <c r="J65" s="1579"/>
    </row>
    <row r="66" spans="1:10" x14ac:dyDescent="0.2">
      <c r="A66" s="1577"/>
      <c r="B66" s="1578"/>
      <c r="C66" s="1578"/>
      <c r="D66" s="1578"/>
      <c r="E66" s="1578"/>
      <c r="F66" s="1578"/>
      <c r="G66" s="1578"/>
      <c r="H66" s="1578"/>
      <c r="I66" s="1578"/>
      <c r="J66" s="1579"/>
    </row>
    <row r="67" spans="1:10" x14ac:dyDescent="0.2">
      <c r="A67" s="1577"/>
      <c r="B67" s="1578"/>
      <c r="C67" s="1578"/>
      <c r="D67" s="1578"/>
      <c r="E67" s="1578"/>
      <c r="F67" s="1578"/>
      <c r="G67" s="1578"/>
      <c r="H67" s="1578"/>
      <c r="I67" s="1578"/>
      <c r="J67" s="1579"/>
    </row>
    <row r="68" spans="1:10" x14ac:dyDescent="0.2">
      <c r="A68" s="1577"/>
      <c r="B68" s="1578"/>
      <c r="C68" s="1578"/>
      <c r="D68" s="1578"/>
      <c r="E68" s="1578"/>
      <c r="F68" s="1578"/>
      <c r="G68" s="1578"/>
      <c r="H68" s="1578"/>
      <c r="I68" s="1578"/>
      <c r="J68" s="1579"/>
    </row>
    <row r="69" spans="1:10" ht="16" thickBot="1" x14ac:dyDescent="0.25">
      <c r="A69" s="1580"/>
      <c r="B69" s="1581"/>
      <c r="C69" s="1581"/>
      <c r="D69" s="1581"/>
      <c r="E69" s="1581"/>
      <c r="F69" s="1581"/>
      <c r="G69" s="1581"/>
      <c r="H69" s="1581"/>
      <c r="I69" s="1581"/>
      <c r="J69" s="1582"/>
    </row>
    <row r="70" spans="1:10" ht="16" thickBot="1" x14ac:dyDescent="0.25">
      <c r="A70" s="1586"/>
      <c r="B70" s="1586"/>
      <c r="C70" s="1586"/>
      <c r="D70" s="1586"/>
      <c r="E70" s="1586"/>
      <c r="F70" s="1586"/>
      <c r="G70" s="1586"/>
      <c r="H70" s="1586"/>
      <c r="I70" s="1586"/>
      <c r="J70" s="1586"/>
    </row>
    <row r="71" spans="1:10" ht="16" thickBot="1" x14ac:dyDescent="0.25">
      <c r="A71" s="1583" t="s">
        <v>79</v>
      </c>
      <c r="B71" s="1584"/>
      <c r="C71" s="1584"/>
      <c r="D71" s="1584"/>
      <c r="E71" s="1584"/>
      <c r="F71" s="1584"/>
      <c r="G71" s="1584"/>
      <c r="H71" s="1584"/>
      <c r="I71" s="1584"/>
      <c r="J71" s="1585"/>
    </row>
    <row r="72" spans="1:10" x14ac:dyDescent="0.2">
      <c r="A72" s="1577" t="s">
        <v>150</v>
      </c>
      <c r="B72" s="1578"/>
      <c r="C72" s="1578"/>
      <c r="D72" s="1578"/>
      <c r="E72" s="1578"/>
      <c r="F72" s="1578"/>
      <c r="G72" s="1578"/>
      <c r="H72" s="1578"/>
      <c r="I72" s="1578"/>
      <c r="J72" s="1579"/>
    </row>
    <row r="73" spans="1:10" ht="16" thickBot="1" x14ac:dyDescent="0.25">
      <c r="A73" s="1580"/>
      <c r="B73" s="1581"/>
      <c r="C73" s="1581"/>
      <c r="D73" s="1581"/>
      <c r="E73" s="1581"/>
      <c r="F73" s="1581"/>
      <c r="G73" s="1581"/>
      <c r="H73" s="1581"/>
      <c r="I73" s="1581"/>
      <c r="J73" s="1582"/>
    </row>
    <row r="74" spans="1:10" ht="16" thickBot="1" x14ac:dyDescent="0.25">
      <c r="A74" s="1587"/>
      <c r="B74" s="1587"/>
      <c r="C74" s="1587"/>
      <c r="D74" s="1587"/>
      <c r="E74" s="1587"/>
      <c r="F74" s="1587"/>
      <c r="G74" s="1587"/>
      <c r="H74" s="1587"/>
      <c r="I74" s="1587"/>
      <c r="J74" s="1587"/>
    </row>
    <row r="75" spans="1:10" ht="16" thickBot="1" x14ac:dyDescent="0.25">
      <c r="A75" s="1583" t="s">
        <v>80</v>
      </c>
      <c r="B75" s="1584"/>
      <c r="C75" s="1584"/>
      <c r="D75" s="1584"/>
      <c r="E75" s="1584"/>
      <c r="F75" s="1584"/>
      <c r="G75" s="1584"/>
      <c r="H75" s="1584"/>
      <c r="I75" s="1584"/>
      <c r="J75" s="1585"/>
    </row>
    <row r="76" spans="1:10" ht="16" thickBot="1" x14ac:dyDescent="0.25">
      <c r="A76" s="314" t="s">
        <v>83</v>
      </c>
      <c r="B76" s="313"/>
      <c r="C76" s="313"/>
      <c r="D76" s="313"/>
      <c r="E76" s="313"/>
      <c r="F76" s="313"/>
      <c r="G76" s="313"/>
      <c r="H76" s="313"/>
      <c r="I76" s="313"/>
      <c r="J76" s="315"/>
    </row>
    <row r="77" spans="1:10" ht="16" thickBot="1" x14ac:dyDescent="0.25">
      <c r="A77" s="1587"/>
      <c r="B77" s="1587"/>
      <c r="C77" s="1587"/>
      <c r="D77" s="1587"/>
      <c r="E77" s="1587"/>
      <c r="F77" s="1587"/>
      <c r="G77" s="1587"/>
      <c r="H77" s="1587"/>
      <c r="I77" s="1587"/>
      <c r="J77" s="1587"/>
    </row>
    <row r="78" spans="1:10" ht="16" thickBot="1" x14ac:dyDescent="0.25">
      <c r="A78" s="1583" t="s">
        <v>81</v>
      </c>
      <c r="B78" s="1584"/>
      <c r="C78" s="1584"/>
      <c r="D78" s="1584"/>
      <c r="E78" s="1584"/>
      <c r="F78" s="1584"/>
      <c r="G78" s="1584"/>
      <c r="H78" s="1584"/>
      <c r="I78" s="1584"/>
      <c r="J78" s="1585"/>
    </row>
    <row r="79" spans="1:10" ht="16" thickBot="1" x14ac:dyDescent="0.25">
      <c r="A79" s="671" t="s">
        <v>84</v>
      </c>
      <c r="B79" s="672"/>
      <c r="C79" s="672"/>
      <c r="D79" s="672"/>
      <c r="E79" s="672"/>
      <c r="F79" s="672"/>
      <c r="G79" s="672"/>
      <c r="H79" s="672"/>
      <c r="I79" s="672"/>
      <c r="J79" s="673"/>
    </row>
    <row r="80" spans="1:10" ht="16" thickBot="1" x14ac:dyDescent="0.25"/>
    <row r="81" spans="1:10" ht="16" thickBot="1" x14ac:dyDescent="0.25">
      <c r="A81" s="1583" t="s">
        <v>82</v>
      </c>
      <c r="B81" s="1584"/>
      <c r="C81" s="1584"/>
      <c r="D81" s="1584"/>
      <c r="E81" s="1584"/>
      <c r="F81" s="1584"/>
      <c r="G81" s="1584"/>
      <c r="H81" s="1584"/>
      <c r="I81" s="1584"/>
      <c r="J81" s="1585"/>
    </row>
    <row r="82" spans="1:10" ht="7" customHeight="1" x14ac:dyDescent="0.2">
      <c r="A82" s="1577" t="s">
        <v>450</v>
      </c>
      <c r="B82" s="1578"/>
      <c r="C82" s="1578"/>
      <c r="D82" s="1578"/>
      <c r="E82" s="1578"/>
      <c r="F82" s="1578"/>
      <c r="G82" s="1578"/>
      <c r="H82" s="1578"/>
      <c r="I82" s="1578"/>
      <c r="J82" s="1579"/>
    </row>
    <row r="83" spans="1:10" x14ac:dyDescent="0.2">
      <c r="A83" s="1577"/>
      <c r="B83" s="1578"/>
      <c r="C83" s="1578"/>
      <c r="D83" s="1578"/>
      <c r="E83" s="1578"/>
      <c r="F83" s="1578"/>
      <c r="G83" s="1578"/>
      <c r="H83" s="1578"/>
      <c r="I83" s="1578"/>
      <c r="J83" s="1579"/>
    </row>
    <row r="84" spans="1:10" ht="22" customHeight="1" thickBot="1" x14ac:dyDescent="0.25">
      <c r="A84" s="1580"/>
      <c r="B84" s="1581"/>
      <c r="C84" s="1581"/>
      <c r="D84" s="1581"/>
      <c r="E84" s="1581"/>
      <c r="F84" s="1581"/>
      <c r="G84" s="1581"/>
      <c r="H84" s="1581"/>
      <c r="I84" s="1581"/>
      <c r="J84" s="1582"/>
    </row>
  </sheetData>
  <sheetProtection sheet="1" objects="1" scenarios="1"/>
  <mergeCells count="103">
    <mergeCell ref="A63:J63"/>
    <mergeCell ref="A82:J84"/>
    <mergeCell ref="A78:J78"/>
    <mergeCell ref="A81:J81"/>
    <mergeCell ref="A65:J69"/>
    <mergeCell ref="A72:J73"/>
    <mergeCell ref="A64:J64"/>
    <mergeCell ref="A71:J71"/>
    <mergeCell ref="A75:J75"/>
    <mergeCell ref="A70:J70"/>
    <mergeCell ref="A74:J74"/>
    <mergeCell ref="A77:J77"/>
    <mergeCell ref="I27:J27"/>
    <mergeCell ref="A33:C33"/>
    <mergeCell ref="A32:C32"/>
    <mergeCell ref="E30:F30"/>
    <mergeCell ref="G30:H30"/>
    <mergeCell ref="A29:H29"/>
    <mergeCell ref="A30:D31"/>
    <mergeCell ref="A36:C36"/>
    <mergeCell ref="A35:C35"/>
    <mergeCell ref="A34:C34"/>
    <mergeCell ref="E27:H27"/>
    <mergeCell ref="B27:D27"/>
    <mergeCell ref="I26:J26"/>
    <mergeCell ref="A18:G18"/>
    <mergeCell ref="A19:G20"/>
    <mergeCell ref="H19:H20"/>
    <mergeCell ref="A23:A24"/>
    <mergeCell ref="I23:J24"/>
    <mergeCell ref="E25:H25"/>
    <mergeCell ref="I25:J25"/>
    <mergeCell ref="B24:D24"/>
    <mergeCell ref="E26:H26"/>
    <mergeCell ref="B25:D25"/>
    <mergeCell ref="B26:D26"/>
    <mergeCell ref="F5:G6"/>
    <mergeCell ref="F8:G8"/>
    <mergeCell ref="A12:H12"/>
    <mergeCell ref="A13:G13"/>
    <mergeCell ref="K23:K24"/>
    <mergeCell ref="E23:H23"/>
    <mergeCell ref="E24:H24"/>
    <mergeCell ref="A14:G14"/>
    <mergeCell ref="A15:G15"/>
    <mergeCell ref="A16:G17"/>
    <mergeCell ref="H16:H17"/>
    <mergeCell ref="B9:C9"/>
    <mergeCell ref="A22:H22"/>
    <mergeCell ref="B23:D23"/>
    <mergeCell ref="A3:H3"/>
    <mergeCell ref="A1:H1"/>
    <mergeCell ref="A62:J62"/>
    <mergeCell ref="I54:P61"/>
    <mergeCell ref="A51:J51"/>
    <mergeCell ref="A2:J2"/>
    <mergeCell ref="I1:J1"/>
    <mergeCell ref="I3:J9"/>
    <mergeCell ref="A10:H10"/>
    <mergeCell ref="A11:J11"/>
    <mergeCell ref="I10:J10"/>
    <mergeCell ref="A44:J44"/>
    <mergeCell ref="D5:E6"/>
    <mergeCell ref="D7:E7"/>
    <mergeCell ref="D8:E8"/>
    <mergeCell ref="D9:E9"/>
    <mergeCell ref="B4:H4"/>
    <mergeCell ref="F9:G9"/>
    <mergeCell ref="B7:C7"/>
    <mergeCell ref="F7:G7"/>
    <mergeCell ref="B8:C8"/>
    <mergeCell ref="A5:A6"/>
    <mergeCell ref="B5:C6"/>
    <mergeCell ref="H5:H6"/>
    <mergeCell ref="A54:D54"/>
    <mergeCell ref="A55:D55"/>
    <mergeCell ref="A56:D56"/>
    <mergeCell ref="A57:D57"/>
    <mergeCell ref="A58:D58"/>
    <mergeCell ref="A59:D59"/>
    <mergeCell ref="A61:D61"/>
    <mergeCell ref="E54:H54"/>
    <mergeCell ref="E55:H55"/>
    <mergeCell ref="E56:H56"/>
    <mergeCell ref="E57:H57"/>
    <mergeCell ref="E58:H58"/>
    <mergeCell ref="E59:H59"/>
    <mergeCell ref="E61:H61"/>
    <mergeCell ref="A60:D60"/>
    <mergeCell ref="E60:H60"/>
    <mergeCell ref="A37:C37"/>
    <mergeCell ref="A41:D41"/>
    <mergeCell ref="A42:D42"/>
    <mergeCell ref="A39:H39"/>
    <mergeCell ref="A40:G40"/>
    <mergeCell ref="A43:D43"/>
    <mergeCell ref="A52:H52"/>
    <mergeCell ref="A53:H53"/>
    <mergeCell ref="A49:H49"/>
    <mergeCell ref="A45:H45"/>
    <mergeCell ref="A46:G46"/>
    <mergeCell ref="A47:G47"/>
    <mergeCell ref="A48:G48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Footer>&amp;C&amp;"Times New Roman,Normal"&amp;8&amp;K000000Generelle satser&amp;R&amp;"Times New Roman,Normal"&amp;8&amp;K000000Side &amp;P af i alt &amp;N sider</oddFooter>
  </headerFooter>
  <rowBreaks count="1" manualBreakCount="1">
    <brk id="50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58"/>
  <sheetViews>
    <sheetView view="pageBreakPreview" workbookViewId="0">
      <selection activeCell="A39" sqref="A39:A41"/>
    </sheetView>
  </sheetViews>
  <sheetFormatPr baseColWidth="10" defaultColWidth="8.83203125" defaultRowHeight="15" x14ac:dyDescent="0.2"/>
  <cols>
    <col min="1" max="1" width="8.83203125" style="13"/>
    <col min="2" max="2" width="8.83203125" style="142" customWidth="1"/>
    <col min="3" max="3" width="12.33203125" style="13" hidden="1" customWidth="1"/>
    <col min="4" max="4" width="12.33203125" style="12" bestFit="1" customWidth="1"/>
    <col min="5" max="5" width="12.83203125" style="12" hidden="1" customWidth="1"/>
    <col min="6" max="6" width="12.33203125" style="12" bestFit="1" customWidth="1"/>
    <col min="7" max="7" width="12.83203125" style="12" hidden="1" customWidth="1"/>
    <col min="8" max="8" width="12.33203125" style="12" bestFit="1" customWidth="1"/>
    <col min="9" max="9" width="12.83203125" style="12" hidden="1" customWidth="1"/>
    <col min="10" max="10" width="12.33203125" style="12" bestFit="1" customWidth="1"/>
    <col min="11" max="11" width="15" style="12" hidden="1" customWidth="1"/>
    <col min="12" max="12" width="12.33203125" style="12" bestFit="1" customWidth="1"/>
    <col min="13" max="13" width="9.6640625" hidden="1" customWidth="1"/>
    <col min="14" max="14" width="20" style="14" hidden="1" customWidth="1"/>
    <col min="15" max="15" width="13.83203125" style="76" customWidth="1"/>
  </cols>
  <sheetData>
    <row r="1" spans="1:15" ht="40" customHeight="1" thickBot="1" x14ac:dyDescent="0.25">
      <c r="A1" s="1593" t="str">
        <f>"Månedslønninger pr. "&amp;'Løntabel gældende fra'!D1&amp;" statens takster"</f>
        <v>Månedslønninger pr. 01/04/17 statens takster</v>
      </c>
      <c r="B1" s="1594"/>
      <c r="C1" s="1594"/>
      <c r="D1" s="1594"/>
      <c r="E1" s="1594"/>
      <c r="F1" s="1594"/>
      <c r="G1" s="1594"/>
      <c r="H1" s="1594"/>
      <c r="I1" s="1594"/>
      <c r="J1" s="1594"/>
      <c r="K1" s="1594"/>
      <c r="L1" s="1594"/>
      <c r="M1" s="1594"/>
      <c r="N1" s="1594"/>
      <c r="O1" s="1595"/>
    </row>
    <row r="2" spans="1:15" x14ac:dyDescent="0.2">
      <c r="A2" s="1602"/>
      <c r="B2" s="1603"/>
      <c r="C2" s="1603"/>
      <c r="D2" s="1603"/>
      <c r="E2" s="1603"/>
      <c r="F2" s="1603"/>
      <c r="G2" s="1603"/>
      <c r="H2" s="1603"/>
      <c r="I2" s="1603"/>
      <c r="J2" s="1603"/>
      <c r="K2" s="1603"/>
      <c r="L2" s="1603"/>
      <c r="M2" s="1603"/>
      <c r="N2" s="1603"/>
      <c r="O2" s="1604"/>
    </row>
    <row r="3" spans="1:15" ht="18" customHeight="1" x14ac:dyDescent="0.2">
      <c r="A3" s="1596" t="s">
        <v>447</v>
      </c>
      <c r="B3" s="1597"/>
      <c r="C3" s="1597"/>
      <c r="D3" s="1597"/>
      <c r="E3" s="1597"/>
      <c r="F3" s="1597"/>
      <c r="G3" s="1597"/>
      <c r="H3" s="1597"/>
      <c r="I3" s="1597"/>
      <c r="J3" s="1597"/>
      <c r="K3" s="1597"/>
      <c r="L3" s="1597"/>
      <c r="M3" s="1597"/>
      <c r="N3" s="1597"/>
      <c r="O3" s="1598"/>
    </row>
    <row r="4" spans="1:15" ht="19" customHeight="1" thickBot="1" x14ac:dyDescent="0.25">
      <c r="A4" s="1599" t="s">
        <v>448</v>
      </c>
      <c r="B4" s="1600"/>
      <c r="C4" s="1600"/>
      <c r="D4" s="1600"/>
      <c r="E4" s="1600"/>
      <c r="F4" s="1600"/>
      <c r="G4" s="1600"/>
      <c r="H4" s="1600"/>
      <c r="I4" s="1600"/>
      <c r="J4" s="1600"/>
      <c r="K4" s="1600"/>
      <c r="L4" s="1600"/>
      <c r="M4" s="1600"/>
      <c r="N4" s="1600"/>
      <c r="O4" s="1601"/>
    </row>
    <row r="5" spans="1:15" s="35" customFormat="1" ht="26" customHeight="1" thickBot="1" x14ac:dyDescent="0.25">
      <c r="A5" s="434" t="s">
        <v>59</v>
      </c>
      <c r="B5" s="461"/>
      <c r="C5" s="463" t="s">
        <v>114</v>
      </c>
      <c r="D5" s="434" t="s">
        <v>54</v>
      </c>
      <c r="E5" s="461" t="s">
        <v>115</v>
      </c>
      <c r="F5" s="462" t="s">
        <v>55</v>
      </c>
      <c r="G5" s="463" t="s">
        <v>116</v>
      </c>
      <c r="H5" s="434" t="s">
        <v>56</v>
      </c>
      <c r="I5" s="461" t="s">
        <v>117</v>
      </c>
      <c r="J5" s="462" t="s">
        <v>57</v>
      </c>
      <c r="K5" s="463" t="s">
        <v>118</v>
      </c>
      <c r="L5" s="434" t="s">
        <v>58</v>
      </c>
      <c r="M5" s="464"/>
      <c r="N5" s="465" t="s">
        <v>119</v>
      </c>
      <c r="O5" s="466" t="s">
        <v>120</v>
      </c>
    </row>
    <row r="6" spans="1:15" ht="20" customHeight="1" x14ac:dyDescent="0.2">
      <c r="A6" s="1591">
        <v>1</v>
      </c>
      <c r="B6" s="448" t="s">
        <v>100</v>
      </c>
      <c r="C6" s="229">
        <v>184817</v>
      </c>
      <c r="D6" s="222">
        <f>ROUND((C6*(1+'Løntabel gældende fra'!$D$7%)),0)</f>
        <v>192662</v>
      </c>
      <c r="E6" s="230">
        <v>188265</v>
      </c>
      <c r="F6" s="231">
        <f>ROUND((E6*(1+'Løntabel gældende fra'!$D$7%)),0)</f>
        <v>196256</v>
      </c>
      <c r="G6" s="229">
        <v>190650</v>
      </c>
      <c r="H6" s="222">
        <f>ROUND((G6*(1+'Løntabel gældende fra'!$D$7%)),0)</f>
        <v>198742</v>
      </c>
      <c r="I6" s="230">
        <v>194098</v>
      </c>
      <c r="J6" s="231">
        <f>ROUND((I6*(1+'Løntabel gældende fra'!$D$7%)),0)</f>
        <v>202337</v>
      </c>
      <c r="K6" s="229">
        <v>196484</v>
      </c>
      <c r="L6" s="222">
        <f>ROUND((K6*(1+'Løntabel gældende fra'!$D$7%)),0)</f>
        <v>204824</v>
      </c>
      <c r="M6" s="489"/>
      <c r="N6" s="469">
        <v>171917.38</v>
      </c>
      <c r="O6" s="236">
        <f>ROUND(N6*(1+'Løntabel gældende fra'!$D$7%),2)</f>
        <v>179214.59</v>
      </c>
    </row>
    <row r="7" spans="1:15" x14ac:dyDescent="0.2">
      <c r="A7" s="1589"/>
      <c r="B7" s="473" t="s">
        <v>101</v>
      </c>
      <c r="C7" s="478">
        <f>C6/12</f>
        <v>15401.416666666666</v>
      </c>
      <c r="D7" s="485">
        <f t="shared" ref="D7:L7" si="0">ROUND(D6/12,2)</f>
        <v>16055.17</v>
      </c>
      <c r="E7" s="482">
        <f>E6/12</f>
        <v>15688.75</v>
      </c>
      <c r="F7" s="467">
        <f t="shared" si="0"/>
        <v>16354.67</v>
      </c>
      <c r="G7" s="478">
        <f>G6/12</f>
        <v>15887.5</v>
      </c>
      <c r="H7" s="485">
        <f t="shared" si="0"/>
        <v>16561.830000000002</v>
      </c>
      <c r="I7" s="482">
        <f>I6/12</f>
        <v>16174.833333333334</v>
      </c>
      <c r="J7" s="467">
        <f t="shared" si="0"/>
        <v>16861.419999999998</v>
      </c>
      <c r="K7" s="478">
        <f>K6/12</f>
        <v>16373.666666666666</v>
      </c>
      <c r="L7" s="485">
        <f t="shared" si="0"/>
        <v>17068.669999999998</v>
      </c>
      <c r="M7" s="490"/>
      <c r="N7" s="468"/>
      <c r="O7" s="470">
        <f>ROUND(O6/12,2)</f>
        <v>14934.55</v>
      </c>
    </row>
    <row r="8" spans="1:15" ht="16" thickBot="1" x14ac:dyDescent="0.25">
      <c r="A8" s="1590"/>
      <c r="B8" s="450" t="s">
        <v>251</v>
      </c>
      <c r="C8" s="226"/>
      <c r="D8" s="227">
        <f>ROUND(D7/160.33,2)</f>
        <v>100.14</v>
      </c>
      <c r="E8" s="228"/>
      <c r="F8" s="227">
        <f t="shared" ref="F8:O8" si="1">ROUND(F7/160.33,2)</f>
        <v>102.01</v>
      </c>
      <c r="G8" s="227">
        <f t="shared" si="1"/>
        <v>99.09</v>
      </c>
      <c r="H8" s="227">
        <f t="shared" si="1"/>
        <v>103.3</v>
      </c>
      <c r="I8" s="227">
        <f t="shared" si="1"/>
        <v>100.88</v>
      </c>
      <c r="J8" s="227">
        <f t="shared" si="1"/>
        <v>105.17</v>
      </c>
      <c r="K8" s="227">
        <f t="shared" si="1"/>
        <v>102.12</v>
      </c>
      <c r="L8" s="227">
        <f t="shared" si="1"/>
        <v>106.46</v>
      </c>
      <c r="M8" s="227">
        <f t="shared" si="1"/>
        <v>0</v>
      </c>
      <c r="N8" s="227">
        <f t="shared" si="1"/>
        <v>0</v>
      </c>
      <c r="O8" s="227">
        <f t="shared" si="1"/>
        <v>93.15</v>
      </c>
    </row>
    <row r="9" spans="1:15" x14ac:dyDescent="0.2">
      <c r="A9" s="1591">
        <v>2</v>
      </c>
      <c r="B9" s="448" t="s">
        <v>100</v>
      </c>
      <c r="C9" s="229">
        <v>187655</v>
      </c>
      <c r="D9" s="222">
        <f>ROUND((C9*(1+'Løntabel gældende fra'!$D$7%)),0)</f>
        <v>195620</v>
      </c>
      <c r="E9" s="230">
        <v>191187</v>
      </c>
      <c r="F9" s="231">
        <f>ROUND((E9*(1+'Løntabel gældende fra'!$D$7%)),0)</f>
        <v>199302</v>
      </c>
      <c r="G9" s="229">
        <v>193632</v>
      </c>
      <c r="H9" s="222">
        <f>ROUND((G9*(1+'Løntabel gældende fra'!$D$7%)),0)</f>
        <v>201851</v>
      </c>
      <c r="I9" s="230">
        <v>197161</v>
      </c>
      <c r="J9" s="231">
        <f>ROUND((I9*(1+'Løntabel gældende fra'!$D$7%)),0)</f>
        <v>205530</v>
      </c>
      <c r="K9" s="229">
        <v>199607</v>
      </c>
      <c r="L9" s="222">
        <f>ROUND((K9*(1+'Løntabel gældende fra'!$D$7%)),0)</f>
        <v>208080</v>
      </c>
      <c r="M9" s="491"/>
      <c r="N9" s="469">
        <v>174577.34</v>
      </c>
      <c r="O9" s="236">
        <f>ROUND(N9*(1+'Løntabel gældende fra'!$D$7%),2)</f>
        <v>181987.45</v>
      </c>
    </row>
    <row r="10" spans="1:15" x14ac:dyDescent="0.2">
      <c r="A10" s="1589"/>
      <c r="B10" s="473" t="s">
        <v>101</v>
      </c>
      <c r="C10" s="478"/>
      <c r="D10" s="485">
        <f>ROUND(D9/12,2)</f>
        <v>16301.67</v>
      </c>
      <c r="E10" s="482"/>
      <c r="F10" s="467">
        <f>ROUND(F9/12,2)</f>
        <v>16608.5</v>
      </c>
      <c r="G10" s="478">
        <f>G9/12</f>
        <v>16136</v>
      </c>
      <c r="H10" s="485">
        <f>ROUND(H9/12,2)</f>
        <v>16820.919999999998</v>
      </c>
      <c r="I10" s="482">
        <f>I9/12</f>
        <v>16430.083333333332</v>
      </c>
      <c r="J10" s="467">
        <f>ROUND(J9/12,2)</f>
        <v>17127.5</v>
      </c>
      <c r="K10" s="478">
        <f>K9/12</f>
        <v>16633.916666666668</v>
      </c>
      <c r="L10" s="485">
        <f>ROUND(L9/12,2)</f>
        <v>17340</v>
      </c>
      <c r="M10" s="490"/>
      <c r="N10" s="468"/>
      <c r="O10" s="470">
        <f>ROUND(O9/12,2)</f>
        <v>15165.62</v>
      </c>
    </row>
    <row r="11" spans="1:15" ht="16" thickBot="1" x14ac:dyDescent="0.25">
      <c r="A11" s="1590"/>
      <c r="B11" s="450" t="s">
        <v>251</v>
      </c>
      <c r="C11" s="226">
        <f>C9/12</f>
        <v>15637.916666666666</v>
      </c>
      <c r="D11" s="227">
        <f>ROUND(D10/160.33,2)</f>
        <v>101.68</v>
      </c>
      <c r="E11" s="228">
        <f>E9/12</f>
        <v>15932.25</v>
      </c>
      <c r="F11" s="227">
        <f t="shared" ref="F11:O11" si="2">ROUND(F10/160.33,2)</f>
        <v>103.59</v>
      </c>
      <c r="G11" s="227">
        <f t="shared" si="2"/>
        <v>100.64</v>
      </c>
      <c r="H11" s="227">
        <f t="shared" si="2"/>
        <v>104.91</v>
      </c>
      <c r="I11" s="227">
        <f t="shared" si="2"/>
        <v>102.48</v>
      </c>
      <c r="J11" s="227">
        <f t="shared" si="2"/>
        <v>106.83</v>
      </c>
      <c r="K11" s="227">
        <f t="shared" si="2"/>
        <v>103.75</v>
      </c>
      <c r="L11" s="227">
        <f t="shared" si="2"/>
        <v>108.15</v>
      </c>
      <c r="M11" s="227">
        <f t="shared" si="2"/>
        <v>0</v>
      </c>
      <c r="N11" s="227">
        <f t="shared" si="2"/>
        <v>0</v>
      </c>
      <c r="O11" s="227">
        <f t="shared" si="2"/>
        <v>94.59</v>
      </c>
    </row>
    <row r="12" spans="1:15" x14ac:dyDescent="0.2">
      <c r="A12" s="1591">
        <v>3</v>
      </c>
      <c r="B12" s="448" t="s">
        <v>100</v>
      </c>
      <c r="C12" s="229">
        <v>190571</v>
      </c>
      <c r="D12" s="222">
        <f>ROUND((C12*(1+'Løntabel gældende fra'!$D$7%)),0)</f>
        <v>198660</v>
      </c>
      <c r="E12" s="230">
        <v>194187</v>
      </c>
      <c r="F12" s="231">
        <f>ROUND((E12*(1+'Løntabel gældende fra'!$D$7%)),0)</f>
        <v>202429</v>
      </c>
      <c r="G12" s="229">
        <v>196692</v>
      </c>
      <c r="H12" s="222">
        <f>ROUND((G12*(1+'Løntabel gældende fra'!$D$7%)),0)</f>
        <v>205041</v>
      </c>
      <c r="I12" s="230">
        <v>200308</v>
      </c>
      <c r="J12" s="231">
        <f>ROUND((I12*(1+'Løntabel gældende fra'!$D$7%)),0)</f>
        <v>208810</v>
      </c>
      <c r="K12" s="229">
        <v>202814</v>
      </c>
      <c r="L12" s="222">
        <f>ROUND((K12*(1+'Løntabel gældende fra'!$D$7%)),0)</f>
        <v>211423</v>
      </c>
      <c r="M12" s="491"/>
      <c r="N12" s="469">
        <v>177309.48</v>
      </c>
      <c r="O12" s="236">
        <f>ROUND(N12*(1+'Løntabel gældende fra'!$D$7%),2)</f>
        <v>184835.56</v>
      </c>
    </row>
    <row r="13" spans="1:15" x14ac:dyDescent="0.2">
      <c r="A13" s="1589"/>
      <c r="B13" s="473" t="s">
        <v>101</v>
      </c>
      <c r="C13" s="478">
        <f>C12/12</f>
        <v>15880.916666666666</v>
      </c>
      <c r="D13" s="485">
        <f>ROUND(D12/12,2)</f>
        <v>16555</v>
      </c>
      <c r="E13" s="482">
        <f>E12/12</f>
        <v>16182.25</v>
      </c>
      <c r="F13" s="467">
        <f>ROUND(F12/12,2)</f>
        <v>16869.080000000002</v>
      </c>
      <c r="G13" s="478">
        <f>G12/12</f>
        <v>16391</v>
      </c>
      <c r="H13" s="485">
        <f>ROUND(H12/12,2)</f>
        <v>17086.75</v>
      </c>
      <c r="I13" s="482">
        <f>I12/12</f>
        <v>16692.333333333332</v>
      </c>
      <c r="J13" s="467">
        <f>ROUND(J12/12,2)</f>
        <v>17400.830000000002</v>
      </c>
      <c r="K13" s="478">
        <f>K12/12</f>
        <v>16901.166666666668</v>
      </c>
      <c r="L13" s="485">
        <f>ROUND(L12/12,2)</f>
        <v>17618.580000000002</v>
      </c>
      <c r="M13" s="490"/>
      <c r="N13" s="468"/>
      <c r="O13" s="470">
        <f>ROUND(O12/12,2)</f>
        <v>15402.96</v>
      </c>
    </row>
    <row r="14" spans="1:15" ht="16" thickBot="1" x14ac:dyDescent="0.25">
      <c r="A14" s="1590"/>
      <c r="B14" s="450" t="s">
        <v>251</v>
      </c>
      <c r="C14" s="479"/>
      <c r="D14" s="227">
        <f>ROUND(D13/160.33,2)</f>
        <v>103.26</v>
      </c>
      <c r="E14" s="483"/>
      <c r="F14" s="227">
        <f t="shared" ref="F14:O14" si="3">ROUND(F13/160.33,2)</f>
        <v>105.21</v>
      </c>
      <c r="G14" s="227">
        <f t="shared" si="3"/>
        <v>102.23</v>
      </c>
      <c r="H14" s="227">
        <f t="shared" si="3"/>
        <v>106.57</v>
      </c>
      <c r="I14" s="227">
        <f t="shared" si="3"/>
        <v>104.11</v>
      </c>
      <c r="J14" s="227">
        <f t="shared" si="3"/>
        <v>108.53</v>
      </c>
      <c r="K14" s="227">
        <f t="shared" si="3"/>
        <v>105.41</v>
      </c>
      <c r="L14" s="227">
        <f t="shared" si="3"/>
        <v>109.89</v>
      </c>
      <c r="M14" s="227">
        <f t="shared" si="3"/>
        <v>0</v>
      </c>
      <c r="N14" s="227">
        <f t="shared" si="3"/>
        <v>0</v>
      </c>
      <c r="O14" s="227">
        <f t="shared" si="3"/>
        <v>96.07</v>
      </c>
    </row>
    <row r="15" spans="1:15" x14ac:dyDescent="0.2">
      <c r="A15" s="1591">
        <v>4</v>
      </c>
      <c r="B15" s="448" t="s">
        <v>100</v>
      </c>
      <c r="C15" s="229">
        <v>193567</v>
      </c>
      <c r="D15" s="222">
        <f>ROUND((C15*(1+'Løntabel gældende fra'!$D$7%)),0)</f>
        <v>201783</v>
      </c>
      <c r="E15" s="230">
        <v>197274</v>
      </c>
      <c r="F15" s="231">
        <f>ROUND((E15*(1+'Løntabel gældende fra'!$D$7%)),0)</f>
        <v>205647</v>
      </c>
      <c r="G15" s="229">
        <v>199840</v>
      </c>
      <c r="H15" s="222">
        <f>ROUND((G15*(1+'Løntabel gældende fra'!$D$7%)),0)</f>
        <v>208322</v>
      </c>
      <c r="I15" s="230">
        <v>203545</v>
      </c>
      <c r="J15" s="231">
        <f>ROUND((I15*(1+'Løntabel gældende fra'!$D$7%)),0)</f>
        <v>212185</v>
      </c>
      <c r="K15" s="229">
        <v>206110</v>
      </c>
      <c r="L15" s="222">
        <f>ROUND((K15*(1+'Løntabel gældende fra'!$D$7%)),0)</f>
        <v>214859</v>
      </c>
      <c r="M15" s="491"/>
      <c r="N15" s="469">
        <v>180117.41</v>
      </c>
      <c r="O15" s="236">
        <f>ROUND(N15*(1+'Løntabel gældende fra'!$D$7%),2)</f>
        <v>187762.67</v>
      </c>
    </row>
    <row r="16" spans="1:15" x14ac:dyDescent="0.2">
      <c r="A16" s="1589"/>
      <c r="B16" s="473" t="s">
        <v>101</v>
      </c>
      <c r="C16" s="478">
        <f>C15/12</f>
        <v>16130.583333333334</v>
      </c>
      <c r="D16" s="485">
        <f>ROUND(D15/12,2)</f>
        <v>16815.25</v>
      </c>
      <c r="E16" s="482">
        <f>E15/12</f>
        <v>16439.5</v>
      </c>
      <c r="F16" s="467">
        <f>ROUND(F15/12,2)</f>
        <v>17137.25</v>
      </c>
      <c r="G16" s="478">
        <f>G15/12</f>
        <v>16653.333333333332</v>
      </c>
      <c r="H16" s="485">
        <f>ROUND(H15/12,2)</f>
        <v>17360.169999999998</v>
      </c>
      <c r="I16" s="482">
        <f>I15/12</f>
        <v>16962.083333333332</v>
      </c>
      <c r="J16" s="467">
        <f>ROUND(J15/12,2)</f>
        <v>17682.080000000002</v>
      </c>
      <c r="K16" s="478">
        <f>K15/12</f>
        <v>17175.833333333332</v>
      </c>
      <c r="L16" s="485">
        <f>ROUND(L15/12,2)</f>
        <v>17904.919999999998</v>
      </c>
      <c r="M16" s="490"/>
      <c r="N16" s="468"/>
      <c r="O16" s="470">
        <f>ROUND(O15/12,2)</f>
        <v>15646.89</v>
      </c>
    </row>
    <row r="17" spans="1:15" ht="16" thickBot="1" x14ac:dyDescent="0.25">
      <c r="A17" s="1590"/>
      <c r="B17" s="450" t="s">
        <v>251</v>
      </c>
      <c r="C17" s="479"/>
      <c r="D17" s="227">
        <f>ROUND(D16/160.33,2)</f>
        <v>104.88</v>
      </c>
      <c r="E17" s="483"/>
      <c r="F17" s="227">
        <f t="shared" ref="F17:O17" si="4">ROUND(F16/160.33,2)</f>
        <v>106.89</v>
      </c>
      <c r="G17" s="227">
        <f t="shared" si="4"/>
        <v>103.87</v>
      </c>
      <c r="H17" s="227">
        <f t="shared" si="4"/>
        <v>108.28</v>
      </c>
      <c r="I17" s="227">
        <f t="shared" si="4"/>
        <v>105.79</v>
      </c>
      <c r="J17" s="227">
        <f t="shared" si="4"/>
        <v>110.29</v>
      </c>
      <c r="K17" s="227">
        <f t="shared" si="4"/>
        <v>107.13</v>
      </c>
      <c r="L17" s="227">
        <f t="shared" si="4"/>
        <v>111.68</v>
      </c>
      <c r="M17" s="227">
        <f t="shared" si="4"/>
        <v>0</v>
      </c>
      <c r="N17" s="227">
        <f t="shared" si="4"/>
        <v>0</v>
      </c>
      <c r="O17" s="227">
        <f t="shared" si="4"/>
        <v>97.59</v>
      </c>
    </row>
    <row r="18" spans="1:15" x14ac:dyDescent="0.2">
      <c r="A18" s="1591">
        <v>5</v>
      </c>
      <c r="B18" s="448" t="s">
        <v>100</v>
      </c>
      <c r="C18" s="229">
        <v>196645</v>
      </c>
      <c r="D18" s="222">
        <f>ROUND((C18*(1+'Løntabel gældende fra'!$D$7%)),0)</f>
        <v>204992</v>
      </c>
      <c r="E18" s="230">
        <v>200442</v>
      </c>
      <c r="F18" s="231">
        <f>ROUND((E18*(1+'Løntabel gældende fra'!$D$7%)),0)</f>
        <v>208950</v>
      </c>
      <c r="G18" s="229">
        <v>203072</v>
      </c>
      <c r="H18" s="222">
        <f>ROUND((G18*(1+'Løntabel gældende fra'!$D$7%)),0)</f>
        <v>211692</v>
      </c>
      <c r="I18" s="230">
        <v>206869</v>
      </c>
      <c r="J18" s="231">
        <f>ROUND((I18*(1+'Løntabel gældende fra'!$D$7%)),0)</f>
        <v>215650</v>
      </c>
      <c r="K18" s="229">
        <v>209497</v>
      </c>
      <c r="L18" s="222">
        <f>ROUND((K18*(1+'Løntabel gældende fra'!$D$7%)),0)</f>
        <v>218389</v>
      </c>
      <c r="M18" s="491"/>
      <c r="N18" s="469">
        <v>183001.14</v>
      </c>
      <c r="O18" s="236">
        <f>ROUND(N18*(1+'Løntabel gældende fra'!$D$7%),2)</f>
        <v>190768.81</v>
      </c>
    </row>
    <row r="19" spans="1:15" x14ac:dyDescent="0.2">
      <c r="A19" s="1589"/>
      <c r="B19" s="473" t="s">
        <v>101</v>
      </c>
      <c r="C19" s="478">
        <f>C18/12</f>
        <v>16387.083333333332</v>
      </c>
      <c r="D19" s="485">
        <f>ROUND(D18/12,2)</f>
        <v>17082.669999999998</v>
      </c>
      <c r="E19" s="482">
        <f>E18/12</f>
        <v>16703.5</v>
      </c>
      <c r="F19" s="467">
        <f>ROUND(F18/12,2)</f>
        <v>17412.5</v>
      </c>
      <c r="G19" s="478">
        <f>G18/12</f>
        <v>16922.666666666668</v>
      </c>
      <c r="H19" s="485">
        <f>ROUND(H18/12,2)</f>
        <v>17641</v>
      </c>
      <c r="I19" s="482">
        <f>I18/12</f>
        <v>17239.083333333332</v>
      </c>
      <c r="J19" s="467">
        <f>ROUND(J18/12,2)</f>
        <v>17970.830000000002</v>
      </c>
      <c r="K19" s="478">
        <f>K18/12</f>
        <v>17458.083333333332</v>
      </c>
      <c r="L19" s="485">
        <f>ROUND(L18/12,2)</f>
        <v>18199.080000000002</v>
      </c>
      <c r="M19" s="490"/>
      <c r="N19" s="468"/>
      <c r="O19" s="470">
        <f>ROUND(O18/12,2)</f>
        <v>15897.4</v>
      </c>
    </row>
    <row r="20" spans="1:15" ht="16" thickBot="1" x14ac:dyDescent="0.25">
      <c r="A20" s="1590"/>
      <c r="B20" s="450" t="s">
        <v>251</v>
      </c>
      <c r="C20" s="479"/>
      <c r="D20" s="227">
        <f>ROUND(D19/160.33,2)</f>
        <v>106.55</v>
      </c>
      <c r="E20" s="483"/>
      <c r="F20" s="227">
        <f t="shared" ref="F20:O20" si="5">ROUND(F19/160.33,2)</f>
        <v>108.6</v>
      </c>
      <c r="G20" s="227">
        <f t="shared" si="5"/>
        <v>105.55</v>
      </c>
      <c r="H20" s="227">
        <f t="shared" si="5"/>
        <v>110.03</v>
      </c>
      <c r="I20" s="227">
        <f t="shared" si="5"/>
        <v>107.52</v>
      </c>
      <c r="J20" s="227">
        <f t="shared" si="5"/>
        <v>112.09</v>
      </c>
      <c r="K20" s="227">
        <f t="shared" si="5"/>
        <v>108.89</v>
      </c>
      <c r="L20" s="227">
        <f t="shared" si="5"/>
        <v>113.51</v>
      </c>
      <c r="M20" s="227">
        <f t="shared" si="5"/>
        <v>0</v>
      </c>
      <c r="N20" s="227">
        <f t="shared" si="5"/>
        <v>0</v>
      </c>
      <c r="O20" s="227">
        <f t="shared" si="5"/>
        <v>99.15</v>
      </c>
    </row>
    <row r="21" spans="1:15" x14ac:dyDescent="0.2">
      <c r="A21" s="1588">
        <v>6</v>
      </c>
      <c r="B21" s="220" t="s">
        <v>100</v>
      </c>
      <c r="C21" s="221">
        <v>199810</v>
      </c>
      <c r="D21" s="225">
        <f>ROUND((C21*(1+'Løntabel gældende fra'!$D$7%)),0)</f>
        <v>208291</v>
      </c>
      <c r="E21" s="223">
        <v>203700</v>
      </c>
      <c r="F21" s="224">
        <f>ROUND((E21*(1+'Løntabel gældende fra'!$D$7%)),0)</f>
        <v>212346</v>
      </c>
      <c r="G21" s="221">
        <v>206395</v>
      </c>
      <c r="H21" s="225">
        <f>ROUND((G21*(1+'Løntabel gældende fra'!$D$7%)),0)</f>
        <v>215156</v>
      </c>
      <c r="I21" s="223">
        <v>210285</v>
      </c>
      <c r="J21" s="224">
        <f>ROUND((I21*(1+'Løntabel gældende fra'!$D$7%)),0)</f>
        <v>219211</v>
      </c>
      <c r="K21" s="221">
        <v>212978</v>
      </c>
      <c r="L21" s="225">
        <f>ROUND((K21*(1+'Løntabel gældende fra'!$D$7%)),0)</f>
        <v>222018</v>
      </c>
      <c r="M21" s="492"/>
      <c r="N21" s="471">
        <v>185966.06</v>
      </c>
      <c r="O21" s="472">
        <f>ROUND(N21*(1+'Løntabel gældende fra'!$D$7%),2)</f>
        <v>193859.58</v>
      </c>
    </row>
    <row r="22" spans="1:15" x14ac:dyDescent="0.2">
      <c r="A22" s="1589"/>
      <c r="B22" s="473" t="s">
        <v>101</v>
      </c>
      <c r="C22" s="478">
        <f>C21/12</f>
        <v>16650.833333333332</v>
      </c>
      <c r="D22" s="485">
        <f>ROUND(D21/12,2)</f>
        <v>17357.580000000002</v>
      </c>
      <c r="E22" s="482">
        <f>E21/12</f>
        <v>16975</v>
      </c>
      <c r="F22" s="467">
        <f>ROUND(F21/12,2)</f>
        <v>17695.5</v>
      </c>
      <c r="G22" s="478">
        <f>G21/12</f>
        <v>17199.583333333332</v>
      </c>
      <c r="H22" s="485">
        <f>ROUND(H21/12,2)</f>
        <v>17929.669999999998</v>
      </c>
      <c r="I22" s="482">
        <f>I21/12</f>
        <v>17523.75</v>
      </c>
      <c r="J22" s="467">
        <f>ROUND(J21/12,2)</f>
        <v>18267.580000000002</v>
      </c>
      <c r="K22" s="478">
        <f>K21/12</f>
        <v>17748.166666666668</v>
      </c>
      <c r="L22" s="485">
        <f>ROUND(L21/12,2)</f>
        <v>18501.5</v>
      </c>
      <c r="M22" s="490"/>
      <c r="N22" s="468"/>
      <c r="O22" s="470">
        <f>ROUND(O21/12,2)</f>
        <v>16154.97</v>
      </c>
    </row>
    <row r="23" spans="1:15" ht="16" thickBot="1" x14ac:dyDescent="0.25">
      <c r="A23" s="1592"/>
      <c r="B23" s="474" t="s">
        <v>251</v>
      </c>
      <c r="C23" s="480"/>
      <c r="D23" s="486">
        <f>ROUND(D22/160.33,2)</f>
        <v>108.26</v>
      </c>
      <c r="E23" s="484"/>
      <c r="F23" s="486">
        <f t="shared" ref="F23:O23" si="6">ROUND(F22/160.33,2)</f>
        <v>110.37</v>
      </c>
      <c r="G23" s="486">
        <f t="shared" si="6"/>
        <v>107.28</v>
      </c>
      <c r="H23" s="486">
        <f t="shared" si="6"/>
        <v>111.83</v>
      </c>
      <c r="I23" s="486">
        <f t="shared" si="6"/>
        <v>109.3</v>
      </c>
      <c r="J23" s="486">
        <f t="shared" si="6"/>
        <v>113.94</v>
      </c>
      <c r="K23" s="486">
        <f t="shared" si="6"/>
        <v>110.7</v>
      </c>
      <c r="L23" s="486">
        <f t="shared" si="6"/>
        <v>115.4</v>
      </c>
      <c r="M23" s="486">
        <f t="shared" si="6"/>
        <v>0</v>
      </c>
      <c r="N23" s="486">
        <f t="shared" si="6"/>
        <v>0</v>
      </c>
      <c r="O23" s="486">
        <f t="shared" si="6"/>
        <v>100.76</v>
      </c>
    </row>
    <row r="24" spans="1:15" x14ac:dyDescent="0.2">
      <c r="A24" s="1591">
        <v>7</v>
      </c>
      <c r="B24" s="448" t="s">
        <v>100</v>
      </c>
      <c r="C24" s="229">
        <v>203058</v>
      </c>
      <c r="D24" s="222">
        <f>ROUND((C24*(1+'Løntabel gældende fra'!$D$7%)),0)</f>
        <v>211677</v>
      </c>
      <c r="E24" s="230">
        <v>207045</v>
      </c>
      <c r="F24" s="231">
        <f>ROUND((E24*(1+'Løntabel gældende fra'!$D$7%)),0)</f>
        <v>215833</v>
      </c>
      <c r="G24" s="229">
        <v>209805</v>
      </c>
      <c r="H24" s="222">
        <f>ROUND((G24*(1+'Løntabel gældende fra'!$D$7%)),0)</f>
        <v>218710</v>
      </c>
      <c r="I24" s="230">
        <v>213792</v>
      </c>
      <c r="J24" s="231">
        <f>ROUND((I24*(1+'Løntabel gældende fra'!$D$7%)),0)</f>
        <v>222867</v>
      </c>
      <c r="K24" s="229">
        <v>216551</v>
      </c>
      <c r="L24" s="222">
        <f>ROUND((K24*(1+'Løntabel gældende fra'!$D$7%)),0)</f>
        <v>225743</v>
      </c>
      <c r="M24" s="491"/>
      <c r="N24" s="469">
        <v>189010.4</v>
      </c>
      <c r="O24" s="236">
        <f>ROUND(N24*(1+'Løntabel gældende fra'!$D$7%),2)</f>
        <v>197033.14</v>
      </c>
    </row>
    <row r="25" spans="1:15" x14ac:dyDescent="0.2">
      <c r="A25" s="1589"/>
      <c r="B25" s="473" t="s">
        <v>101</v>
      </c>
      <c r="C25" s="478"/>
      <c r="D25" s="485">
        <f>ROUND(D24/12,2)</f>
        <v>17639.75</v>
      </c>
      <c r="E25" s="482">
        <f>E24/12</f>
        <v>17253.75</v>
      </c>
      <c r="F25" s="467">
        <f>ROUND(F24/12,2)</f>
        <v>17986.080000000002</v>
      </c>
      <c r="G25" s="478">
        <f>G24/12</f>
        <v>17483.75</v>
      </c>
      <c r="H25" s="485">
        <f>ROUND(H24/12,2)</f>
        <v>18225.830000000002</v>
      </c>
      <c r="I25" s="482">
        <f>I24/12</f>
        <v>17816</v>
      </c>
      <c r="J25" s="467">
        <f>ROUND(J24/12,2)</f>
        <v>18572.25</v>
      </c>
      <c r="K25" s="478">
        <f>K24/12</f>
        <v>18045.916666666668</v>
      </c>
      <c r="L25" s="485">
        <f>ROUND(L24/12,2)</f>
        <v>18811.919999999998</v>
      </c>
      <c r="M25" s="490"/>
      <c r="N25" s="468"/>
      <c r="O25" s="470">
        <f>ROUND(O24/12,2)</f>
        <v>16419.43</v>
      </c>
    </row>
    <row r="26" spans="1:15" ht="16" thickBot="1" x14ac:dyDescent="0.25">
      <c r="A26" s="1590"/>
      <c r="B26" s="450" t="s">
        <v>251</v>
      </c>
      <c r="C26" s="226">
        <f>C24/12</f>
        <v>16921.5</v>
      </c>
      <c r="D26" s="227">
        <f>ROUND(D25/160.33,2)</f>
        <v>110.02</v>
      </c>
      <c r="E26" s="483"/>
      <c r="F26" s="227">
        <f t="shared" ref="F26:O26" si="7">ROUND(F25/160.33,2)</f>
        <v>112.18</v>
      </c>
      <c r="G26" s="227">
        <f t="shared" si="7"/>
        <v>109.05</v>
      </c>
      <c r="H26" s="227">
        <f t="shared" si="7"/>
        <v>113.68</v>
      </c>
      <c r="I26" s="227">
        <f t="shared" si="7"/>
        <v>111.12</v>
      </c>
      <c r="J26" s="227">
        <f t="shared" si="7"/>
        <v>115.84</v>
      </c>
      <c r="K26" s="227">
        <f t="shared" si="7"/>
        <v>112.55</v>
      </c>
      <c r="L26" s="227">
        <f t="shared" si="7"/>
        <v>117.33</v>
      </c>
      <c r="M26" s="227">
        <f t="shared" si="7"/>
        <v>0</v>
      </c>
      <c r="N26" s="227">
        <f t="shared" si="7"/>
        <v>0</v>
      </c>
      <c r="O26" s="227">
        <f t="shared" si="7"/>
        <v>102.41</v>
      </c>
    </row>
    <row r="27" spans="1:15" x14ac:dyDescent="0.2">
      <c r="A27" s="1588">
        <v>8</v>
      </c>
      <c r="B27" s="220" t="s">
        <v>100</v>
      </c>
      <c r="C27" s="221">
        <v>206396</v>
      </c>
      <c r="D27" s="225">
        <f>ROUND((C27*(1+'Løntabel gældende fra'!$D$7%)),0)</f>
        <v>215157</v>
      </c>
      <c r="E27" s="223">
        <v>210482</v>
      </c>
      <c r="F27" s="224">
        <f>ROUND((E27*(1+'Løntabel gældende fra'!$D$7%)),0)</f>
        <v>219416</v>
      </c>
      <c r="G27" s="221">
        <v>213311</v>
      </c>
      <c r="H27" s="225">
        <f>ROUND((G27*(1+'Løntabel gældende fra'!$D$7%)),0)</f>
        <v>222365</v>
      </c>
      <c r="I27" s="223">
        <v>217397</v>
      </c>
      <c r="J27" s="224">
        <f>ROUND((I27*(1+'Løntabel gældende fra'!$D$7%)),0)</f>
        <v>226625</v>
      </c>
      <c r="K27" s="221">
        <v>220226</v>
      </c>
      <c r="L27" s="225">
        <f>ROUND((K27*(1+'Løntabel gældende fra'!$D$7%)),0)</f>
        <v>229574</v>
      </c>
      <c r="M27" s="492"/>
      <c r="N27" s="471">
        <v>192139.54</v>
      </c>
      <c r="O27" s="472">
        <f>ROUND(N27*(1+'Løntabel gældende fra'!$D$7%),2)</f>
        <v>200295.09</v>
      </c>
    </row>
    <row r="28" spans="1:15" x14ac:dyDescent="0.2">
      <c r="A28" s="1589"/>
      <c r="B28" s="473" t="s">
        <v>101</v>
      </c>
      <c r="C28" s="478"/>
      <c r="D28" s="485">
        <f>ROUND(D27/12,2)</f>
        <v>17929.75</v>
      </c>
      <c r="E28" s="482">
        <f>E27/12</f>
        <v>17540.166666666668</v>
      </c>
      <c r="F28" s="467">
        <f>ROUND(F27/12,2)</f>
        <v>18284.669999999998</v>
      </c>
      <c r="G28" s="478">
        <f>G27/12</f>
        <v>17775.916666666668</v>
      </c>
      <c r="H28" s="485">
        <f>ROUND(H27/12,2)</f>
        <v>18530.419999999998</v>
      </c>
      <c r="I28" s="482">
        <f>I27/12</f>
        <v>18116.416666666668</v>
      </c>
      <c r="J28" s="467">
        <f>ROUND(J27/12,2)</f>
        <v>18885.419999999998</v>
      </c>
      <c r="K28" s="478">
        <f>K27/12</f>
        <v>18352.166666666668</v>
      </c>
      <c r="L28" s="485">
        <f>ROUND(L27/12,2)</f>
        <v>19131.169999999998</v>
      </c>
      <c r="M28" s="490"/>
      <c r="N28" s="468"/>
      <c r="O28" s="470">
        <f>ROUND(O27/12,2)</f>
        <v>16691.259999999998</v>
      </c>
    </row>
    <row r="29" spans="1:15" ht="16" thickBot="1" x14ac:dyDescent="0.25">
      <c r="A29" s="1592"/>
      <c r="B29" s="474" t="s">
        <v>251</v>
      </c>
      <c r="C29" s="481">
        <f>C27/12</f>
        <v>17199.666666666668</v>
      </c>
      <c r="D29" s="486">
        <f>ROUND(D28/160.33,2)</f>
        <v>111.83</v>
      </c>
      <c r="E29" s="484"/>
      <c r="F29" s="486">
        <f t="shared" ref="F29:O29" si="8">ROUND(F28/160.33,2)</f>
        <v>114.04</v>
      </c>
      <c r="G29" s="486">
        <f t="shared" si="8"/>
        <v>110.87</v>
      </c>
      <c r="H29" s="486">
        <f t="shared" si="8"/>
        <v>115.58</v>
      </c>
      <c r="I29" s="486">
        <f t="shared" si="8"/>
        <v>112.99</v>
      </c>
      <c r="J29" s="486">
        <f t="shared" si="8"/>
        <v>117.79</v>
      </c>
      <c r="K29" s="486">
        <f t="shared" si="8"/>
        <v>114.46</v>
      </c>
      <c r="L29" s="486">
        <f t="shared" si="8"/>
        <v>119.32</v>
      </c>
      <c r="M29" s="486">
        <f t="shared" si="8"/>
        <v>0</v>
      </c>
      <c r="N29" s="486">
        <f t="shared" si="8"/>
        <v>0</v>
      </c>
      <c r="O29" s="486">
        <f t="shared" si="8"/>
        <v>104.11</v>
      </c>
    </row>
    <row r="30" spans="1:15" x14ac:dyDescent="0.2">
      <c r="A30" s="1591">
        <v>9</v>
      </c>
      <c r="B30" s="448" t="s">
        <v>100</v>
      </c>
      <c r="C30" s="229">
        <v>209829</v>
      </c>
      <c r="D30" s="222">
        <f>ROUND((C30*(1+'Løntabel gældende fra'!$D$7%)),0)</f>
        <v>218735</v>
      </c>
      <c r="E30" s="230">
        <v>214015</v>
      </c>
      <c r="F30" s="231">
        <f>ROUND((E30*(1+'Løntabel gældende fra'!$D$7%)),0)</f>
        <v>223099</v>
      </c>
      <c r="G30" s="229">
        <v>216916</v>
      </c>
      <c r="H30" s="222">
        <f>ROUND((G30*(1+'Løntabel gældende fra'!$D$7%)),0)</f>
        <v>226123</v>
      </c>
      <c r="I30" s="230">
        <v>221102</v>
      </c>
      <c r="J30" s="231">
        <f>ROUND((I30*(1+'Løntabel gældende fra'!$D$7%)),0)</f>
        <v>230487</v>
      </c>
      <c r="K30" s="229">
        <v>224002</v>
      </c>
      <c r="L30" s="222">
        <f>ROUND((K30*(1+'Løntabel gældende fra'!$D$7%)),0)</f>
        <v>233510</v>
      </c>
      <c r="M30" s="491"/>
      <c r="N30" s="469">
        <v>195355.31</v>
      </c>
      <c r="O30" s="236">
        <f>ROUND(N30*(1+'Løntabel gældende fra'!$D$7%),2)</f>
        <v>203647.35999999999</v>
      </c>
    </row>
    <row r="31" spans="1:15" x14ac:dyDescent="0.2">
      <c r="A31" s="1589"/>
      <c r="B31" s="473" t="s">
        <v>261</v>
      </c>
      <c r="C31" s="478"/>
      <c r="D31" s="485">
        <f>ROUND(D30/12,2)</f>
        <v>18227.919999999998</v>
      </c>
      <c r="E31" s="482">
        <f>E30/12</f>
        <v>17834.583333333332</v>
      </c>
      <c r="F31" s="467">
        <f>ROUND(F30/12,2)</f>
        <v>18591.580000000002</v>
      </c>
      <c r="G31" s="478">
        <f>G30/12</f>
        <v>18076.333333333332</v>
      </c>
      <c r="H31" s="485">
        <f>ROUND(H30/12,2)</f>
        <v>18843.580000000002</v>
      </c>
      <c r="I31" s="482">
        <f>I30/12</f>
        <v>18425.166666666668</v>
      </c>
      <c r="J31" s="467">
        <f>ROUND(J30/12,2)</f>
        <v>19207.25</v>
      </c>
      <c r="K31" s="478">
        <f>K30/12</f>
        <v>18666.833333333332</v>
      </c>
      <c r="L31" s="485">
        <f>ROUND(L30/12,2)</f>
        <v>19459.169999999998</v>
      </c>
      <c r="M31" s="490"/>
      <c r="N31" s="468"/>
      <c r="O31" s="470">
        <f>ROUND(O30/12,2)</f>
        <v>16970.61</v>
      </c>
    </row>
    <row r="32" spans="1:15" ht="16" thickBot="1" x14ac:dyDescent="0.25">
      <c r="A32" s="1590"/>
      <c r="B32" s="450" t="s">
        <v>251</v>
      </c>
      <c r="C32" s="226">
        <f>C30/12</f>
        <v>17485.75</v>
      </c>
      <c r="D32" s="227">
        <f>ROUND(D31/160.33,2)</f>
        <v>113.69</v>
      </c>
      <c r="E32" s="483"/>
      <c r="F32" s="227">
        <f t="shared" ref="F32:O32" si="9">ROUND(F31/160.33,2)</f>
        <v>115.96</v>
      </c>
      <c r="G32" s="227">
        <f t="shared" si="9"/>
        <v>112.74</v>
      </c>
      <c r="H32" s="227">
        <f t="shared" si="9"/>
        <v>117.53</v>
      </c>
      <c r="I32" s="227">
        <f t="shared" si="9"/>
        <v>114.92</v>
      </c>
      <c r="J32" s="227">
        <f t="shared" si="9"/>
        <v>119.8</v>
      </c>
      <c r="K32" s="227">
        <f t="shared" si="9"/>
        <v>116.43</v>
      </c>
      <c r="L32" s="227">
        <f t="shared" si="9"/>
        <v>121.37</v>
      </c>
      <c r="M32" s="227">
        <f t="shared" si="9"/>
        <v>0</v>
      </c>
      <c r="N32" s="227">
        <f t="shared" si="9"/>
        <v>0</v>
      </c>
      <c r="O32" s="227">
        <f t="shared" si="9"/>
        <v>105.85</v>
      </c>
    </row>
    <row r="33" spans="1:15" x14ac:dyDescent="0.2">
      <c r="A33" s="1588">
        <v>10</v>
      </c>
      <c r="B33" s="220" t="s">
        <v>100</v>
      </c>
      <c r="C33" s="221">
        <v>213353</v>
      </c>
      <c r="D33" s="225">
        <f>ROUND((C33*(1+'Løntabel gældende fra'!$D$7%)),0)</f>
        <v>222409</v>
      </c>
      <c r="E33" s="223">
        <v>217646</v>
      </c>
      <c r="F33" s="224">
        <f>ROUND((E33*(1+'Løntabel gældende fra'!$D$7%)),0)</f>
        <v>226884</v>
      </c>
      <c r="G33" s="221">
        <v>220617</v>
      </c>
      <c r="H33" s="225">
        <f>ROUND((G33*(1+'Løntabel gældende fra'!$D$7%)),0)</f>
        <v>229981</v>
      </c>
      <c r="I33" s="223">
        <v>224909</v>
      </c>
      <c r="J33" s="224">
        <f>ROUND((I33*(1+'Løntabel gældende fra'!$D$7%)),0)</f>
        <v>234455</v>
      </c>
      <c r="K33" s="221">
        <v>227882</v>
      </c>
      <c r="L33" s="225">
        <f>ROUND((K33*(1+'Løntabel gældende fra'!$D$7%)),0)</f>
        <v>237555</v>
      </c>
      <c r="M33" s="492"/>
      <c r="N33" s="471">
        <v>198659.5</v>
      </c>
      <c r="O33" s="472">
        <f>ROUND(N33*(1+'Løntabel gældende fra'!$D$7%),2)</f>
        <v>207091.8</v>
      </c>
    </row>
    <row r="34" spans="1:15" x14ac:dyDescent="0.2">
      <c r="A34" s="1589"/>
      <c r="B34" s="473" t="s">
        <v>101</v>
      </c>
      <c r="C34" s="478"/>
      <c r="D34" s="485">
        <f>ROUND(D33/12,2)</f>
        <v>18534.080000000002</v>
      </c>
      <c r="E34" s="482">
        <f>E33/12</f>
        <v>18137.166666666668</v>
      </c>
      <c r="F34" s="467">
        <f>ROUND(F33/12,2)</f>
        <v>18907</v>
      </c>
      <c r="G34" s="478">
        <f>G33/12</f>
        <v>18384.75</v>
      </c>
      <c r="H34" s="485">
        <f>ROUND(H33/12,2)</f>
        <v>19165.080000000002</v>
      </c>
      <c r="I34" s="482">
        <f>I33/12</f>
        <v>18742.416666666668</v>
      </c>
      <c r="J34" s="467">
        <f>ROUND(J33/12,2)</f>
        <v>19537.919999999998</v>
      </c>
      <c r="K34" s="478">
        <f>K33/12</f>
        <v>18990.166666666668</v>
      </c>
      <c r="L34" s="485">
        <f>ROUND(L33/12,2)</f>
        <v>19796.25</v>
      </c>
      <c r="M34" s="490"/>
      <c r="N34" s="468"/>
      <c r="O34" s="470">
        <f>ROUND(O33/12,2)</f>
        <v>17257.650000000001</v>
      </c>
    </row>
    <row r="35" spans="1:15" ht="16" thickBot="1" x14ac:dyDescent="0.25">
      <c r="A35" s="1592"/>
      <c r="B35" s="474" t="s">
        <v>251</v>
      </c>
      <c r="C35" s="481">
        <f>C33/12</f>
        <v>17779.416666666668</v>
      </c>
      <c r="D35" s="486">
        <f>ROUND(D34/160.33,2)</f>
        <v>115.6</v>
      </c>
      <c r="E35" s="484"/>
      <c r="F35" s="486">
        <f t="shared" ref="F35:O35" si="10">ROUND(F34/160.33,2)</f>
        <v>117.93</v>
      </c>
      <c r="G35" s="486">
        <f t="shared" si="10"/>
        <v>114.67</v>
      </c>
      <c r="H35" s="486">
        <f t="shared" si="10"/>
        <v>119.54</v>
      </c>
      <c r="I35" s="486">
        <f t="shared" si="10"/>
        <v>116.9</v>
      </c>
      <c r="J35" s="486">
        <f t="shared" si="10"/>
        <v>121.86</v>
      </c>
      <c r="K35" s="486">
        <f t="shared" si="10"/>
        <v>118.44</v>
      </c>
      <c r="L35" s="486">
        <f t="shared" si="10"/>
        <v>123.47</v>
      </c>
      <c r="M35" s="486">
        <f t="shared" si="10"/>
        <v>0</v>
      </c>
      <c r="N35" s="486">
        <f t="shared" si="10"/>
        <v>0</v>
      </c>
      <c r="O35" s="486">
        <f t="shared" si="10"/>
        <v>107.64</v>
      </c>
    </row>
    <row r="36" spans="1:15" x14ac:dyDescent="0.2">
      <c r="A36" s="1591">
        <v>11</v>
      </c>
      <c r="B36" s="448" t="s">
        <v>100</v>
      </c>
      <c r="C36" s="229">
        <v>216134</v>
      </c>
      <c r="D36" s="222">
        <f>ROUND((C36*(1+'Løntabel gældende fra'!$D$7%)),0)</f>
        <v>225308</v>
      </c>
      <c r="E36" s="230">
        <v>220533</v>
      </c>
      <c r="F36" s="231">
        <f>ROUND((E36*(1+'Løntabel gældende fra'!$D$7%)),0)</f>
        <v>229894</v>
      </c>
      <c r="G36" s="229">
        <v>223579</v>
      </c>
      <c r="H36" s="222">
        <f>ROUND((G36*(1+'Løntabel gældende fra'!$D$7%)),0)</f>
        <v>233069</v>
      </c>
      <c r="I36" s="230">
        <v>227978</v>
      </c>
      <c r="J36" s="231">
        <f>ROUND((I36*(1+'Løntabel gældende fra'!$D$7%)),0)</f>
        <v>237655</v>
      </c>
      <c r="K36" s="229">
        <v>231023</v>
      </c>
      <c r="L36" s="222">
        <f>ROUND((K36*(1+'Løntabel gældende fra'!$D$7%)),0)</f>
        <v>240829</v>
      </c>
      <c r="M36" s="491"/>
      <c r="N36" s="469">
        <v>202053.93</v>
      </c>
      <c r="O36" s="236">
        <f>ROUND(N36*(1+'Løntabel gældende fra'!$D$7%),2)</f>
        <v>210630.31</v>
      </c>
    </row>
    <row r="37" spans="1:15" x14ac:dyDescent="0.2">
      <c r="A37" s="1589"/>
      <c r="B37" s="473" t="s">
        <v>261</v>
      </c>
      <c r="C37" s="478"/>
      <c r="D37" s="485">
        <f>ROUND(D36/12,2)</f>
        <v>18775.669999999998</v>
      </c>
      <c r="E37" s="482">
        <f>E36/12</f>
        <v>18377.75</v>
      </c>
      <c r="F37" s="467">
        <f>ROUND(F36/12,2)</f>
        <v>19157.830000000002</v>
      </c>
      <c r="G37" s="478">
        <f>G36/12</f>
        <v>18631.583333333332</v>
      </c>
      <c r="H37" s="485">
        <f>ROUND(H36/12,2)</f>
        <v>19422.419999999998</v>
      </c>
      <c r="I37" s="482">
        <f>I36/12</f>
        <v>18998.166666666668</v>
      </c>
      <c r="J37" s="467">
        <f>ROUND(J36/12,2)</f>
        <v>19804.580000000002</v>
      </c>
      <c r="K37" s="478">
        <f>K36/12</f>
        <v>19251.916666666668</v>
      </c>
      <c r="L37" s="485">
        <f>ROUND(L36/12,2)</f>
        <v>20069.080000000002</v>
      </c>
      <c r="M37" s="490"/>
      <c r="N37" s="468"/>
      <c r="O37" s="470">
        <f>ROUND(O36/12,2)</f>
        <v>17552.53</v>
      </c>
    </row>
    <row r="38" spans="1:15" ht="16" thickBot="1" x14ac:dyDescent="0.25">
      <c r="A38" s="1590"/>
      <c r="B38" s="450" t="s">
        <v>251</v>
      </c>
      <c r="C38" s="226">
        <f>C36/12</f>
        <v>18011.166666666668</v>
      </c>
      <c r="D38" s="227">
        <f>ROUND(D37/160.33,2)</f>
        <v>117.11</v>
      </c>
      <c r="E38" s="483"/>
      <c r="F38" s="227">
        <f t="shared" ref="F38:O38" si="11">ROUND(F37/160.33,2)</f>
        <v>119.49</v>
      </c>
      <c r="G38" s="227">
        <f t="shared" si="11"/>
        <v>116.21</v>
      </c>
      <c r="H38" s="227">
        <f t="shared" si="11"/>
        <v>121.14</v>
      </c>
      <c r="I38" s="227">
        <f t="shared" si="11"/>
        <v>118.49</v>
      </c>
      <c r="J38" s="227">
        <f t="shared" si="11"/>
        <v>123.52</v>
      </c>
      <c r="K38" s="227">
        <f t="shared" si="11"/>
        <v>120.08</v>
      </c>
      <c r="L38" s="227">
        <f t="shared" si="11"/>
        <v>125.17</v>
      </c>
      <c r="M38" s="227">
        <f t="shared" si="11"/>
        <v>0</v>
      </c>
      <c r="N38" s="227">
        <f t="shared" si="11"/>
        <v>0</v>
      </c>
      <c r="O38" s="227">
        <f t="shared" si="11"/>
        <v>109.48</v>
      </c>
    </row>
    <row r="39" spans="1:15" x14ac:dyDescent="0.2">
      <c r="A39" s="1588">
        <v>12</v>
      </c>
      <c r="B39" s="220" t="s">
        <v>100</v>
      </c>
      <c r="C39" s="221">
        <v>219855</v>
      </c>
      <c r="D39" s="225">
        <f>ROUND((C39*(1+'Løntabel gældende fra'!$D$7%)),0)</f>
        <v>229187</v>
      </c>
      <c r="E39" s="223">
        <v>224365</v>
      </c>
      <c r="F39" s="224">
        <f>ROUND((E39*(1+'Løntabel gældende fra'!$D$7%)),0)</f>
        <v>233888</v>
      </c>
      <c r="G39" s="221">
        <v>227489</v>
      </c>
      <c r="H39" s="225">
        <f>ROUND((G39*(1+'Løntabel gældende fra'!$D$7%)),0)</f>
        <v>237145</v>
      </c>
      <c r="I39" s="223">
        <v>231997</v>
      </c>
      <c r="J39" s="224">
        <f>ROUND((I39*(1+'Løntabel gældende fra'!$D$7%)),0)</f>
        <v>241844</v>
      </c>
      <c r="K39" s="221">
        <v>235119</v>
      </c>
      <c r="L39" s="225">
        <f>ROUND((K39*(1+'Løntabel gældende fra'!$D$7%)),0)</f>
        <v>245099</v>
      </c>
      <c r="M39" s="492"/>
      <c r="N39" s="471">
        <v>205542.18</v>
      </c>
      <c r="O39" s="472">
        <f>ROUND(N39*(1+'Løntabel gældende fra'!$D$7%),2)</f>
        <v>214266.62</v>
      </c>
    </row>
    <row r="40" spans="1:15" x14ac:dyDescent="0.2">
      <c r="A40" s="1589"/>
      <c r="B40" s="473" t="s">
        <v>101</v>
      </c>
      <c r="C40" s="478"/>
      <c r="D40" s="485">
        <f>ROUND(D39/12,2)</f>
        <v>19098.919999999998</v>
      </c>
      <c r="E40" s="482">
        <f>E39/12</f>
        <v>18697.083333333332</v>
      </c>
      <c r="F40" s="467">
        <f>ROUND(F39/12,2)</f>
        <v>19490.669999999998</v>
      </c>
      <c r="G40" s="478">
        <f>G39/12</f>
        <v>18957.416666666668</v>
      </c>
      <c r="H40" s="485">
        <f>ROUND(H39/12,2)</f>
        <v>19762.080000000002</v>
      </c>
      <c r="I40" s="482">
        <f>I39/12</f>
        <v>19333.083333333332</v>
      </c>
      <c r="J40" s="467">
        <f>ROUND(J39/12,2)</f>
        <v>20153.669999999998</v>
      </c>
      <c r="K40" s="478">
        <f>K39/12</f>
        <v>19593.25</v>
      </c>
      <c r="L40" s="485">
        <f>ROUND(L39/12,2)</f>
        <v>20424.919999999998</v>
      </c>
      <c r="M40" s="490"/>
      <c r="N40" s="468"/>
      <c r="O40" s="470">
        <f>ROUND(O39/12,2)</f>
        <v>17855.55</v>
      </c>
    </row>
    <row r="41" spans="1:15" ht="16" thickBot="1" x14ac:dyDescent="0.25">
      <c r="A41" s="1592"/>
      <c r="B41" s="474" t="s">
        <v>251</v>
      </c>
      <c r="C41" s="481">
        <f>C39/12</f>
        <v>18321.25</v>
      </c>
      <c r="D41" s="486">
        <f>ROUND(D40/160.33,2)</f>
        <v>119.12</v>
      </c>
      <c r="E41" s="486">
        <f t="shared" ref="E41:O41" si="12">ROUND(E40/160.33,2)</f>
        <v>116.62</v>
      </c>
      <c r="F41" s="486">
        <f t="shared" si="12"/>
        <v>121.57</v>
      </c>
      <c r="G41" s="486">
        <f t="shared" si="12"/>
        <v>118.24</v>
      </c>
      <c r="H41" s="486">
        <f t="shared" si="12"/>
        <v>123.26</v>
      </c>
      <c r="I41" s="486">
        <f t="shared" si="12"/>
        <v>120.58</v>
      </c>
      <c r="J41" s="486">
        <f t="shared" si="12"/>
        <v>125.7</v>
      </c>
      <c r="K41" s="486">
        <f t="shared" si="12"/>
        <v>122.21</v>
      </c>
      <c r="L41" s="486">
        <f t="shared" si="12"/>
        <v>127.39</v>
      </c>
      <c r="M41" s="486">
        <f t="shared" si="12"/>
        <v>0</v>
      </c>
      <c r="N41" s="486">
        <f t="shared" si="12"/>
        <v>0</v>
      </c>
      <c r="O41" s="486">
        <f t="shared" si="12"/>
        <v>111.37</v>
      </c>
    </row>
    <row r="42" spans="1:15" x14ac:dyDescent="0.2">
      <c r="A42" s="1591">
        <v>13</v>
      </c>
      <c r="B42" s="448" t="s">
        <v>100</v>
      </c>
      <c r="C42" s="229">
        <v>223681</v>
      </c>
      <c r="D42" s="222">
        <f>ROUND((C42*(1+'Løntabel gældende fra'!$D$7%)),0)</f>
        <v>233175</v>
      </c>
      <c r="E42" s="230">
        <v>228304</v>
      </c>
      <c r="F42" s="231">
        <f>ROUND((E42*(1+'Løntabel gældende fra'!$D$7%)),0)</f>
        <v>237995</v>
      </c>
      <c r="G42" s="229">
        <v>231504</v>
      </c>
      <c r="H42" s="222">
        <f>ROUND((G42*(1+'Løntabel gældende fra'!$D$7%)),0)</f>
        <v>241330</v>
      </c>
      <c r="I42" s="230">
        <v>236129</v>
      </c>
      <c r="J42" s="231">
        <f>ROUND((I42*(1+'Løntabel gældende fra'!$D$7%)),0)</f>
        <v>246152</v>
      </c>
      <c r="K42" s="229">
        <v>239328</v>
      </c>
      <c r="L42" s="222">
        <f>ROUND((K42*(1+'Løntabel gældende fra'!$D$7%)),0)</f>
        <v>249487</v>
      </c>
      <c r="M42" s="491"/>
      <c r="N42" s="469">
        <v>209126.09</v>
      </c>
      <c r="O42" s="236">
        <f>ROUND(N42*(1+'Løntabel gældende fra'!$D$7%),2)</f>
        <v>218002.66</v>
      </c>
    </row>
    <row r="43" spans="1:15" x14ac:dyDescent="0.2">
      <c r="A43" s="1589"/>
      <c r="B43" s="473" t="s">
        <v>261</v>
      </c>
      <c r="C43" s="478"/>
      <c r="D43" s="485">
        <f>ROUND(D42/12,2)</f>
        <v>19431.25</v>
      </c>
      <c r="E43" s="482">
        <f>E42/12</f>
        <v>19025.333333333332</v>
      </c>
      <c r="F43" s="467">
        <f>ROUND(F42/12,2)</f>
        <v>19832.919999999998</v>
      </c>
      <c r="G43" s="478">
        <f>G42/12</f>
        <v>19292</v>
      </c>
      <c r="H43" s="485">
        <f>ROUND(H42/12,2)</f>
        <v>20110.830000000002</v>
      </c>
      <c r="I43" s="482">
        <f>I42/12</f>
        <v>19677.416666666668</v>
      </c>
      <c r="J43" s="467">
        <f>ROUND(J42/12,2)</f>
        <v>20512.669999999998</v>
      </c>
      <c r="K43" s="478">
        <f>K42/12</f>
        <v>19944</v>
      </c>
      <c r="L43" s="485">
        <f>ROUND(L42/12,2)</f>
        <v>20790.580000000002</v>
      </c>
      <c r="M43" s="490"/>
      <c r="N43" s="468"/>
      <c r="O43" s="470">
        <f>ROUND(O42/12,2)</f>
        <v>18166.89</v>
      </c>
    </row>
    <row r="44" spans="1:15" ht="16" thickBot="1" x14ac:dyDescent="0.25">
      <c r="A44" s="1590"/>
      <c r="B44" s="450" t="s">
        <v>251</v>
      </c>
      <c r="C44" s="226">
        <f>C42/12</f>
        <v>18640.083333333332</v>
      </c>
      <c r="D44" s="227">
        <f>ROUND(D43/160.33,2)</f>
        <v>121.2</v>
      </c>
      <c r="E44" s="483"/>
      <c r="F44" s="227">
        <f t="shared" ref="F44:O44" si="13">ROUND(F43/160.33,2)</f>
        <v>123.7</v>
      </c>
      <c r="G44" s="227">
        <f t="shared" si="13"/>
        <v>120.33</v>
      </c>
      <c r="H44" s="227">
        <f t="shared" si="13"/>
        <v>125.43</v>
      </c>
      <c r="I44" s="227">
        <f t="shared" si="13"/>
        <v>122.73</v>
      </c>
      <c r="J44" s="227">
        <f t="shared" si="13"/>
        <v>127.94</v>
      </c>
      <c r="K44" s="227">
        <f t="shared" si="13"/>
        <v>124.39</v>
      </c>
      <c r="L44" s="227">
        <f t="shared" si="13"/>
        <v>129.66999999999999</v>
      </c>
      <c r="M44" s="227">
        <f t="shared" si="13"/>
        <v>0</v>
      </c>
      <c r="N44" s="227">
        <f t="shared" si="13"/>
        <v>0</v>
      </c>
      <c r="O44" s="227">
        <f t="shared" si="13"/>
        <v>113.31</v>
      </c>
    </row>
    <row r="45" spans="1:15" x14ac:dyDescent="0.2">
      <c r="A45" s="1591">
        <v>14</v>
      </c>
      <c r="B45" s="448" t="s">
        <v>100</v>
      </c>
      <c r="C45" s="229">
        <v>227611</v>
      </c>
      <c r="D45" s="222">
        <f>ROUND((C45*(1+'Løntabel gældende fra'!$D$7%)),0)</f>
        <v>237272</v>
      </c>
      <c r="E45" s="230">
        <v>232351</v>
      </c>
      <c r="F45" s="231">
        <f>ROUND((E45*(1+'Løntabel gældende fra'!$D$7%)),0)</f>
        <v>242213</v>
      </c>
      <c r="G45" s="229">
        <v>235632</v>
      </c>
      <c r="H45" s="222">
        <f>ROUND((G45*(1+'Løntabel gældende fra'!$D$7%)),0)</f>
        <v>245634</v>
      </c>
      <c r="I45" s="230">
        <v>240371</v>
      </c>
      <c r="J45" s="231">
        <f>ROUND((I45*(1+'Løntabel gældende fra'!$D$7%)),0)</f>
        <v>250574</v>
      </c>
      <c r="K45" s="229">
        <v>243652</v>
      </c>
      <c r="L45" s="222">
        <f>ROUND((K45*(1+'Løntabel gældende fra'!$D$7%)),0)</f>
        <v>253994</v>
      </c>
      <c r="M45" s="491"/>
      <c r="N45" s="469">
        <v>212809.24</v>
      </c>
      <c r="O45" s="236">
        <f>ROUND(N45*(1+'Løntabel gældende fra'!$D$7%),2)</f>
        <v>221842.14</v>
      </c>
    </row>
    <row r="46" spans="1:15" x14ac:dyDescent="0.2">
      <c r="A46" s="1589"/>
      <c r="B46" s="473" t="s">
        <v>261</v>
      </c>
      <c r="C46" s="478"/>
      <c r="D46" s="485">
        <f>ROUND(D45/12,2)</f>
        <v>19772.669999999998</v>
      </c>
      <c r="E46" s="482">
        <f>E45/12</f>
        <v>19362.583333333332</v>
      </c>
      <c r="F46" s="467">
        <f>ROUND(F45/12,2)</f>
        <v>20184.419999999998</v>
      </c>
      <c r="G46" s="478">
        <f>G45/12</f>
        <v>19636</v>
      </c>
      <c r="H46" s="485">
        <f>ROUND(H45/12,2)</f>
        <v>20469.5</v>
      </c>
      <c r="I46" s="482">
        <f>I45/12</f>
        <v>20030.916666666668</v>
      </c>
      <c r="J46" s="467">
        <f>ROUND(J45/12,2)</f>
        <v>20881.169999999998</v>
      </c>
      <c r="K46" s="478">
        <f>K45/12</f>
        <v>20304.333333333332</v>
      </c>
      <c r="L46" s="485">
        <f>ROUND(L45/12,2)</f>
        <v>21166.17</v>
      </c>
      <c r="M46" s="490"/>
      <c r="N46" s="468"/>
      <c r="O46" s="470">
        <f>ROUND(O45/12,2)</f>
        <v>18486.849999999999</v>
      </c>
    </row>
    <row r="47" spans="1:15" ht="16" thickBot="1" x14ac:dyDescent="0.25">
      <c r="A47" s="1590"/>
      <c r="B47" s="450" t="s">
        <v>251</v>
      </c>
      <c r="C47" s="226">
        <f>C45/12</f>
        <v>18967.583333333332</v>
      </c>
      <c r="D47" s="227">
        <f>ROUND(D46/160.33,2)</f>
        <v>123.32</v>
      </c>
      <c r="E47" s="483"/>
      <c r="F47" s="227">
        <f t="shared" ref="F47:O47" si="14">ROUND(F46/160.33,2)</f>
        <v>125.89</v>
      </c>
      <c r="G47" s="227">
        <f t="shared" si="14"/>
        <v>122.47</v>
      </c>
      <c r="H47" s="227">
        <f t="shared" si="14"/>
        <v>127.67</v>
      </c>
      <c r="I47" s="227">
        <f t="shared" si="14"/>
        <v>124.94</v>
      </c>
      <c r="J47" s="227">
        <f t="shared" si="14"/>
        <v>130.24</v>
      </c>
      <c r="K47" s="227">
        <f t="shared" si="14"/>
        <v>126.64</v>
      </c>
      <c r="L47" s="227">
        <f t="shared" si="14"/>
        <v>132.02000000000001</v>
      </c>
      <c r="M47" s="227">
        <f t="shared" si="14"/>
        <v>0</v>
      </c>
      <c r="N47" s="227">
        <f t="shared" si="14"/>
        <v>0</v>
      </c>
      <c r="O47" s="227">
        <f t="shared" si="14"/>
        <v>115.3</v>
      </c>
    </row>
    <row r="48" spans="1:15" x14ac:dyDescent="0.2">
      <c r="A48" s="1588">
        <v>15</v>
      </c>
      <c r="B48" s="220" t="s">
        <v>100</v>
      </c>
      <c r="C48" s="221">
        <v>231649</v>
      </c>
      <c r="D48" s="225">
        <f>ROUND((C48*(1+'Løntabel gældende fra'!$D$7%)),0)</f>
        <v>241482</v>
      </c>
      <c r="E48" s="223">
        <v>236507</v>
      </c>
      <c r="F48" s="224">
        <f>ROUND((E48*(1+'Løntabel gældende fra'!$D$7%)),0)</f>
        <v>246546</v>
      </c>
      <c r="G48" s="221">
        <v>239870</v>
      </c>
      <c r="H48" s="225">
        <f>ROUND((G48*(1+'Løntabel gældende fra'!$D$7%)),0)</f>
        <v>250052</v>
      </c>
      <c r="I48" s="223">
        <v>244730</v>
      </c>
      <c r="J48" s="224">
        <f>ROUND((I48*(1+'Løntabel gældende fra'!$D$7%)),0)</f>
        <v>255118</v>
      </c>
      <c r="K48" s="221">
        <v>248094</v>
      </c>
      <c r="L48" s="225">
        <f>ROUND((K48*(1+'Løntabel gældende fra'!$D$7%)),0)</f>
        <v>258625</v>
      </c>
      <c r="M48" s="492"/>
      <c r="N48" s="471">
        <v>216591.65</v>
      </c>
      <c r="O48" s="472">
        <f>ROUND(N48*(1+'Løntabel gældende fra'!$D$7%),2)</f>
        <v>225785.1</v>
      </c>
    </row>
    <row r="49" spans="1:15" x14ac:dyDescent="0.2">
      <c r="A49" s="1589"/>
      <c r="B49" s="473" t="s">
        <v>101</v>
      </c>
      <c r="C49" s="478"/>
      <c r="D49" s="485">
        <f>ROUND(D48/12,2)</f>
        <v>20123.5</v>
      </c>
      <c r="E49" s="482">
        <f>E48/12</f>
        <v>19708.916666666668</v>
      </c>
      <c r="F49" s="467">
        <f>ROUND(F48/12,2)</f>
        <v>20545.5</v>
      </c>
      <c r="G49" s="478">
        <f>G48/12</f>
        <v>19989.166666666668</v>
      </c>
      <c r="H49" s="485">
        <f>ROUND(H48/12,2)</f>
        <v>20837.669999999998</v>
      </c>
      <c r="I49" s="482">
        <f>I48/12</f>
        <v>20394.166666666668</v>
      </c>
      <c r="J49" s="467">
        <f>ROUND(J48/12,2)</f>
        <v>21259.83</v>
      </c>
      <c r="K49" s="478">
        <f>K48/12</f>
        <v>20674.5</v>
      </c>
      <c r="L49" s="485">
        <f>ROUND(L48/12,2)</f>
        <v>21552.080000000002</v>
      </c>
      <c r="M49" s="490"/>
      <c r="N49" s="468"/>
      <c r="O49" s="470">
        <f>ROUND(O48/12,2)</f>
        <v>18815.43</v>
      </c>
    </row>
    <row r="50" spans="1:15" ht="16" thickBot="1" x14ac:dyDescent="0.25">
      <c r="A50" s="1592"/>
      <c r="B50" s="474" t="s">
        <v>251</v>
      </c>
      <c r="C50" s="481">
        <f>C48/12</f>
        <v>19304.083333333332</v>
      </c>
      <c r="D50" s="486">
        <f>ROUND(D49/160.33,2)</f>
        <v>125.51</v>
      </c>
      <c r="E50" s="484"/>
      <c r="F50" s="486">
        <f t="shared" ref="F50:O50" si="15">ROUND(F49/160.33,2)</f>
        <v>128.15</v>
      </c>
      <c r="G50" s="486">
        <f t="shared" si="15"/>
        <v>124.68</v>
      </c>
      <c r="H50" s="486">
        <f t="shared" si="15"/>
        <v>129.97</v>
      </c>
      <c r="I50" s="486">
        <f t="shared" si="15"/>
        <v>127.2</v>
      </c>
      <c r="J50" s="486">
        <f t="shared" si="15"/>
        <v>132.6</v>
      </c>
      <c r="K50" s="486">
        <f t="shared" si="15"/>
        <v>128.94999999999999</v>
      </c>
      <c r="L50" s="486">
        <f t="shared" si="15"/>
        <v>134.41999999999999</v>
      </c>
      <c r="M50" s="486">
        <f t="shared" si="15"/>
        <v>0</v>
      </c>
      <c r="N50" s="486">
        <f t="shared" si="15"/>
        <v>0</v>
      </c>
      <c r="O50" s="486">
        <f t="shared" si="15"/>
        <v>117.35</v>
      </c>
    </row>
    <row r="51" spans="1:15" x14ac:dyDescent="0.2">
      <c r="A51" s="1591">
        <v>16</v>
      </c>
      <c r="B51" s="448" t="s">
        <v>100</v>
      </c>
      <c r="C51" s="229">
        <v>234743</v>
      </c>
      <c r="D51" s="222">
        <f>ROUND((C51*(1+'Løntabel gældende fra'!$D$7%)),0)</f>
        <v>244707</v>
      </c>
      <c r="E51" s="230">
        <v>239725</v>
      </c>
      <c r="F51" s="231">
        <f>ROUND((E51*(1+'Løntabel gældende fra'!$D$7%)),0)</f>
        <v>249900</v>
      </c>
      <c r="G51" s="229">
        <v>243175</v>
      </c>
      <c r="H51" s="222">
        <f>ROUND((G51*(1+'Løntabel gældende fra'!$D$7%)),0)</f>
        <v>253497</v>
      </c>
      <c r="I51" s="230">
        <v>248156</v>
      </c>
      <c r="J51" s="231">
        <f>ROUND((I51*(1+'Løntabel gældende fra'!$D$7%)),0)</f>
        <v>258689</v>
      </c>
      <c r="K51" s="229">
        <v>251606</v>
      </c>
      <c r="L51" s="222">
        <f>ROUND((K51*(1+'Løntabel gældende fra'!$D$7%)),0)</f>
        <v>262286</v>
      </c>
      <c r="M51" s="491"/>
      <c r="N51" s="469">
        <v>220480.52</v>
      </c>
      <c r="O51" s="236">
        <f>ROUND(N51*(1+'Løntabel gældende fra'!$D$7%),2)</f>
        <v>229839.04</v>
      </c>
    </row>
    <row r="52" spans="1:15" x14ac:dyDescent="0.2">
      <c r="A52" s="1589"/>
      <c r="B52" s="473" t="s">
        <v>261</v>
      </c>
      <c r="C52" s="478"/>
      <c r="D52" s="485">
        <f>ROUND(D51/12,2)</f>
        <v>20392.25</v>
      </c>
      <c r="E52" s="482">
        <f>E51/12</f>
        <v>19977.083333333332</v>
      </c>
      <c r="F52" s="467">
        <f>ROUND(F51/12,2)</f>
        <v>20825</v>
      </c>
      <c r="G52" s="478">
        <f>G51/12</f>
        <v>20264.583333333332</v>
      </c>
      <c r="H52" s="485">
        <f>ROUND(H51/12,2)</f>
        <v>21124.75</v>
      </c>
      <c r="I52" s="482">
        <f>I51/12</f>
        <v>20679.666666666668</v>
      </c>
      <c r="J52" s="467">
        <f>ROUND(J51/12,2)</f>
        <v>21557.42</v>
      </c>
      <c r="K52" s="478">
        <f>K51/12</f>
        <v>20967.166666666668</v>
      </c>
      <c r="L52" s="485">
        <f>ROUND(L51/12,2)</f>
        <v>21857.17</v>
      </c>
      <c r="M52" s="490"/>
      <c r="N52" s="468"/>
      <c r="O52" s="470">
        <f>ROUND(O51/12,2)</f>
        <v>19153.25</v>
      </c>
    </row>
    <row r="53" spans="1:15" ht="16" thickBot="1" x14ac:dyDescent="0.25">
      <c r="A53" s="1590"/>
      <c r="B53" s="450" t="s">
        <v>251</v>
      </c>
      <c r="C53" s="226">
        <f>C51/12</f>
        <v>19561.916666666668</v>
      </c>
      <c r="D53" s="227">
        <f>ROUND(D52/160.33,2)</f>
        <v>127.19</v>
      </c>
      <c r="E53" s="483"/>
      <c r="F53" s="227">
        <f t="shared" ref="F53:O53" si="16">ROUND(F52/160.33,2)</f>
        <v>129.88999999999999</v>
      </c>
      <c r="G53" s="227">
        <f t="shared" si="16"/>
        <v>126.39</v>
      </c>
      <c r="H53" s="227">
        <f t="shared" si="16"/>
        <v>131.76</v>
      </c>
      <c r="I53" s="227">
        <f t="shared" si="16"/>
        <v>128.97999999999999</v>
      </c>
      <c r="J53" s="227">
        <f t="shared" si="16"/>
        <v>134.46</v>
      </c>
      <c r="K53" s="227">
        <f t="shared" si="16"/>
        <v>130.78</v>
      </c>
      <c r="L53" s="227">
        <f t="shared" si="16"/>
        <v>136.33000000000001</v>
      </c>
      <c r="M53" s="227">
        <f t="shared" si="16"/>
        <v>0</v>
      </c>
      <c r="N53" s="227">
        <f t="shared" si="16"/>
        <v>0</v>
      </c>
      <c r="O53" s="227">
        <f t="shared" si="16"/>
        <v>119.46</v>
      </c>
    </row>
    <row r="54" spans="1:15" x14ac:dyDescent="0.2">
      <c r="A54" s="1588">
        <v>17</v>
      </c>
      <c r="B54" s="220" t="s">
        <v>100</v>
      </c>
      <c r="C54" s="221">
        <v>239005</v>
      </c>
      <c r="D54" s="225">
        <f>ROUND((C54*(1+'Løntabel gældende fra'!$D$7%)),0)</f>
        <v>249150</v>
      </c>
      <c r="E54" s="223">
        <v>244114</v>
      </c>
      <c r="F54" s="224">
        <f>ROUND((E54*(1+'Løntabel gældende fra'!$D$7%)),0)</f>
        <v>254476</v>
      </c>
      <c r="G54" s="221">
        <v>247651</v>
      </c>
      <c r="H54" s="225">
        <f>ROUND((G54*(1+'Løntabel gældende fra'!$D$7%)),0)</f>
        <v>258163</v>
      </c>
      <c r="I54" s="223">
        <v>252759</v>
      </c>
      <c r="J54" s="224">
        <f>ROUND((I54*(1+'Løntabel gældende fra'!$D$7%)),0)</f>
        <v>263488</v>
      </c>
      <c r="K54" s="221">
        <v>256294</v>
      </c>
      <c r="L54" s="225">
        <f>ROUND((K54*(1+'Løntabel gældende fra'!$D$7%)),0)</f>
        <v>267173</v>
      </c>
      <c r="M54" s="492"/>
      <c r="N54" s="471">
        <v>224474.06</v>
      </c>
      <c r="O54" s="472">
        <f>ROUND(N54*(1+'Løntabel gældende fra'!$D$7%),2)</f>
        <v>234002.09</v>
      </c>
    </row>
    <row r="55" spans="1:15" x14ac:dyDescent="0.2">
      <c r="A55" s="1589"/>
      <c r="B55" s="473" t="s">
        <v>261</v>
      </c>
      <c r="C55" s="478"/>
      <c r="D55" s="485">
        <f>ROUND(D54/12,2)</f>
        <v>20762.5</v>
      </c>
      <c r="E55" s="482">
        <f>E54/12</f>
        <v>20342.833333333332</v>
      </c>
      <c r="F55" s="467">
        <f>ROUND(F54/12,2)</f>
        <v>21206.33</v>
      </c>
      <c r="G55" s="478">
        <f>G54/12</f>
        <v>20637.583333333332</v>
      </c>
      <c r="H55" s="485">
        <f>ROUND(H54/12,2)</f>
        <v>21513.58</v>
      </c>
      <c r="I55" s="482">
        <f>I54/12</f>
        <v>21063.25</v>
      </c>
      <c r="J55" s="467">
        <f>ROUND(J54/12,2)</f>
        <v>21957.33</v>
      </c>
      <c r="K55" s="478">
        <f>K54/12</f>
        <v>21357.833333333332</v>
      </c>
      <c r="L55" s="485">
        <f>ROUND(L54/12,2)</f>
        <v>22264.42</v>
      </c>
      <c r="M55" s="490"/>
      <c r="N55" s="468"/>
      <c r="O55" s="470">
        <f>ROUND(O54/12,2)</f>
        <v>19500.169999999998</v>
      </c>
    </row>
    <row r="56" spans="1:15" ht="16" thickBot="1" x14ac:dyDescent="0.25">
      <c r="A56" s="1592"/>
      <c r="B56" s="474" t="s">
        <v>251</v>
      </c>
      <c r="C56" s="481">
        <f>C54/12</f>
        <v>19917.083333333332</v>
      </c>
      <c r="D56" s="227">
        <f>ROUND(D55/160.33,2)</f>
        <v>129.5</v>
      </c>
      <c r="E56" s="484"/>
      <c r="F56" s="227">
        <f t="shared" ref="F56:O56" si="17">ROUND(F55/160.33,2)</f>
        <v>132.27000000000001</v>
      </c>
      <c r="G56" s="227">
        <f t="shared" si="17"/>
        <v>128.72</v>
      </c>
      <c r="H56" s="227">
        <f t="shared" si="17"/>
        <v>134.18</v>
      </c>
      <c r="I56" s="227">
        <f t="shared" si="17"/>
        <v>131.37</v>
      </c>
      <c r="J56" s="227">
        <f t="shared" si="17"/>
        <v>136.94999999999999</v>
      </c>
      <c r="K56" s="227">
        <f t="shared" si="17"/>
        <v>133.21</v>
      </c>
      <c r="L56" s="227">
        <f t="shared" si="17"/>
        <v>138.87</v>
      </c>
      <c r="M56" s="227">
        <f t="shared" si="17"/>
        <v>0</v>
      </c>
      <c r="N56" s="227">
        <f t="shared" si="17"/>
        <v>0</v>
      </c>
      <c r="O56" s="227">
        <f t="shared" si="17"/>
        <v>121.63</v>
      </c>
    </row>
    <row r="57" spans="1:15" x14ac:dyDescent="0.2">
      <c r="A57" s="1591">
        <v>18</v>
      </c>
      <c r="B57" s="448" t="s">
        <v>100</v>
      </c>
      <c r="C57" s="229">
        <v>243387</v>
      </c>
      <c r="D57" s="222">
        <f>ROUND((C57*(1+'Løntabel gældende fra'!$D$7%)),0)</f>
        <v>253718</v>
      </c>
      <c r="E57" s="230">
        <v>248626</v>
      </c>
      <c r="F57" s="231">
        <f>ROUND((E57*(1+'Løntabel gældende fra'!$D$7%)),0)</f>
        <v>259179</v>
      </c>
      <c r="G57" s="229">
        <v>252252</v>
      </c>
      <c r="H57" s="222">
        <f>ROUND((G57*(1+'Løntabel gældende fra'!$D$7%)),0)</f>
        <v>262959</v>
      </c>
      <c r="I57" s="230">
        <v>257490</v>
      </c>
      <c r="J57" s="231">
        <f>ROUND((I57*(1+'Løntabel gældende fra'!$D$7%)),0)</f>
        <v>268419</v>
      </c>
      <c r="K57" s="229">
        <v>261115</v>
      </c>
      <c r="L57" s="222">
        <f>ROUND((K57*(1+'Løntabel gældende fra'!$D$7%)),0)</f>
        <v>272198</v>
      </c>
      <c r="M57" s="491"/>
      <c r="N57" s="469">
        <v>228579.5</v>
      </c>
      <c r="O57" s="236">
        <f>ROUND(N57*(1+'Løntabel gældende fra'!$D$7%),2)</f>
        <v>238281.79</v>
      </c>
    </row>
    <row r="58" spans="1:15" x14ac:dyDescent="0.2">
      <c r="A58" s="1589"/>
      <c r="B58" s="473" t="s">
        <v>101</v>
      </c>
      <c r="C58" s="478"/>
      <c r="D58" s="485">
        <f>ROUND(D57/12,2)</f>
        <v>21143.17</v>
      </c>
      <c r="E58" s="482">
        <f>E57/12</f>
        <v>20718.833333333332</v>
      </c>
      <c r="F58" s="467">
        <f>ROUND(F57/12,2)</f>
        <v>21598.25</v>
      </c>
      <c r="G58" s="478">
        <f>G57/12</f>
        <v>21021</v>
      </c>
      <c r="H58" s="485">
        <f>ROUND(H57/12,2)</f>
        <v>21913.25</v>
      </c>
      <c r="I58" s="482">
        <f>I57/12</f>
        <v>21457.5</v>
      </c>
      <c r="J58" s="467">
        <f>ROUND(J57/12,2)</f>
        <v>22368.25</v>
      </c>
      <c r="K58" s="478">
        <f>K57/12</f>
        <v>21759.583333333332</v>
      </c>
      <c r="L58" s="485">
        <f>ROUND(L57/12,2)</f>
        <v>22683.17</v>
      </c>
      <c r="M58" s="490"/>
      <c r="N58" s="468"/>
      <c r="O58" s="470">
        <f>ROUND(O57/12,2)</f>
        <v>19856.82</v>
      </c>
    </row>
    <row r="59" spans="1:15" ht="16" thickBot="1" x14ac:dyDescent="0.25">
      <c r="A59" s="1590"/>
      <c r="B59" s="450" t="s">
        <v>251</v>
      </c>
      <c r="C59" s="226">
        <f>C57/12</f>
        <v>20282.25</v>
      </c>
      <c r="D59" s="227">
        <f>ROUND(D58/160.33,2)</f>
        <v>131.87</v>
      </c>
      <c r="E59" s="483"/>
      <c r="F59" s="227">
        <f t="shared" ref="F59:O59" si="18">ROUND(F58/160.33,2)</f>
        <v>134.71</v>
      </c>
      <c r="G59" s="227">
        <f t="shared" si="18"/>
        <v>131.11000000000001</v>
      </c>
      <c r="H59" s="227">
        <f t="shared" si="18"/>
        <v>136.68</v>
      </c>
      <c r="I59" s="227">
        <f t="shared" si="18"/>
        <v>133.83000000000001</v>
      </c>
      <c r="J59" s="227">
        <f t="shared" si="18"/>
        <v>139.51</v>
      </c>
      <c r="K59" s="227">
        <f t="shared" si="18"/>
        <v>135.72</v>
      </c>
      <c r="L59" s="227">
        <f t="shared" si="18"/>
        <v>141.47999999999999</v>
      </c>
      <c r="M59" s="227">
        <f t="shared" si="18"/>
        <v>0</v>
      </c>
      <c r="N59" s="227">
        <f t="shared" si="18"/>
        <v>0</v>
      </c>
      <c r="O59" s="227">
        <f t="shared" si="18"/>
        <v>123.85</v>
      </c>
    </row>
    <row r="60" spans="1:15" x14ac:dyDescent="0.2">
      <c r="A60" s="1588">
        <v>19</v>
      </c>
      <c r="B60" s="220" t="s">
        <v>100</v>
      </c>
      <c r="C60" s="221">
        <v>246657</v>
      </c>
      <c r="D60" s="225">
        <f>ROUND((C60*(1+'Løntabel gældende fra'!$D$7%)),0)</f>
        <v>257127</v>
      </c>
      <c r="E60" s="223">
        <v>252029</v>
      </c>
      <c r="F60" s="224">
        <f>ROUND((E60*(1+'Løntabel gældende fra'!$D$7%)),0)</f>
        <v>262727</v>
      </c>
      <c r="G60" s="221">
        <v>255746</v>
      </c>
      <c r="H60" s="225">
        <f>ROUND((G60*(1+'Løntabel gældende fra'!$D$7%)),0)</f>
        <v>266601</v>
      </c>
      <c r="I60" s="223">
        <v>261119</v>
      </c>
      <c r="J60" s="224">
        <f>ROUND((I60*(1+'Løntabel gældende fra'!$D$7%)),0)</f>
        <v>272202</v>
      </c>
      <c r="K60" s="221">
        <v>264839</v>
      </c>
      <c r="L60" s="225">
        <f>ROUND((K60*(1+'Løntabel gældende fra'!$D$7%)),0)</f>
        <v>276080</v>
      </c>
      <c r="M60" s="492"/>
      <c r="N60" s="471">
        <v>232796.81</v>
      </c>
      <c r="O60" s="472">
        <f>ROUND(N60*(1+'Løntabel gældende fra'!$D$7%),2)</f>
        <v>242678.1</v>
      </c>
    </row>
    <row r="61" spans="1:15" x14ac:dyDescent="0.2">
      <c r="A61" s="1589"/>
      <c r="B61" s="473" t="s">
        <v>261</v>
      </c>
      <c r="C61" s="478"/>
      <c r="D61" s="485">
        <f>ROUND(D60/12,2)</f>
        <v>21427.25</v>
      </c>
      <c r="E61" s="482">
        <f>E60/12</f>
        <v>21002.416666666668</v>
      </c>
      <c r="F61" s="467">
        <f>ROUND(F60/12,2)</f>
        <v>21893.919999999998</v>
      </c>
      <c r="G61" s="478">
        <f>G60/12</f>
        <v>21312.166666666668</v>
      </c>
      <c r="H61" s="485">
        <f>ROUND(H60/12,2)</f>
        <v>22216.75</v>
      </c>
      <c r="I61" s="482">
        <f>I60/12</f>
        <v>21759.916666666668</v>
      </c>
      <c r="J61" s="467">
        <f>ROUND(J60/12,2)</f>
        <v>22683.5</v>
      </c>
      <c r="K61" s="478">
        <f>K60/12</f>
        <v>22069.916666666668</v>
      </c>
      <c r="L61" s="485">
        <f>ROUND(L60/12,2)</f>
        <v>23006.67</v>
      </c>
      <c r="M61" s="490"/>
      <c r="N61" s="468"/>
      <c r="O61" s="470">
        <f>ROUND(O60/12,2)</f>
        <v>20223.18</v>
      </c>
    </row>
    <row r="62" spans="1:15" ht="16" thickBot="1" x14ac:dyDescent="0.25">
      <c r="A62" s="1592"/>
      <c r="B62" s="474" t="s">
        <v>251</v>
      </c>
      <c r="C62" s="481">
        <f>C60/12</f>
        <v>20554.75</v>
      </c>
      <c r="D62" s="227">
        <f>ROUND(D61/160.33,2)</f>
        <v>133.63999999999999</v>
      </c>
      <c r="E62" s="484"/>
      <c r="F62" s="227">
        <f t="shared" ref="F62:O62" si="19">ROUND(F61/160.33,2)</f>
        <v>136.56</v>
      </c>
      <c r="G62" s="227">
        <f t="shared" si="19"/>
        <v>132.93</v>
      </c>
      <c r="H62" s="227">
        <f t="shared" si="19"/>
        <v>138.57</v>
      </c>
      <c r="I62" s="227">
        <f t="shared" si="19"/>
        <v>135.72</v>
      </c>
      <c r="J62" s="227">
        <f t="shared" si="19"/>
        <v>141.47999999999999</v>
      </c>
      <c r="K62" s="227">
        <f t="shared" si="19"/>
        <v>137.65</v>
      </c>
      <c r="L62" s="227">
        <f t="shared" si="19"/>
        <v>143.5</v>
      </c>
      <c r="M62" s="227">
        <f t="shared" si="19"/>
        <v>0</v>
      </c>
      <c r="N62" s="227">
        <f t="shared" si="19"/>
        <v>0</v>
      </c>
      <c r="O62" s="227">
        <f t="shared" si="19"/>
        <v>126.13</v>
      </c>
    </row>
    <row r="63" spans="1:15" x14ac:dyDescent="0.2">
      <c r="A63" s="1591">
        <v>20</v>
      </c>
      <c r="B63" s="448" t="s">
        <v>100</v>
      </c>
      <c r="C63" s="229">
        <v>250053</v>
      </c>
      <c r="D63" s="222">
        <f>ROUND((C63*(1+'Løntabel gældende fra'!$D$7%)),0)</f>
        <v>260667</v>
      </c>
      <c r="E63" s="230">
        <v>255560</v>
      </c>
      <c r="F63" s="231">
        <f>ROUND((E63*(1+'Løntabel gældende fra'!$D$7%)),0)</f>
        <v>266407</v>
      </c>
      <c r="G63" s="229">
        <v>259374</v>
      </c>
      <c r="H63" s="222">
        <f>ROUND((G63*(1+'Løntabel gældende fra'!$D$7%)),0)</f>
        <v>270383</v>
      </c>
      <c r="I63" s="230">
        <v>264882</v>
      </c>
      <c r="J63" s="231">
        <f>ROUND((I63*(1+'Løntabel gældende fra'!$D$7%)),0)</f>
        <v>276125</v>
      </c>
      <c r="K63" s="229">
        <v>268694</v>
      </c>
      <c r="L63" s="222">
        <f>ROUND((K63*(1+'Løntabel gældende fra'!$D$7%)),0)</f>
        <v>280099</v>
      </c>
      <c r="M63" s="491"/>
      <c r="N63" s="469">
        <v>237129.61</v>
      </c>
      <c r="O63" s="236">
        <f>ROUND(N63*(1+'Løntabel gældende fra'!$D$7%),2)</f>
        <v>247194.81</v>
      </c>
    </row>
    <row r="64" spans="1:15" x14ac:dyDescent="0.2">
      <c r="A64" s="1589"/>
      <c r="B64" s="473" t="s">
        <v>101</v>
      </c>
      <c r="C64" s="478"/>
      <c r="D64" s="485">
        <f>ROUND(D63/12,2)</f>
        <v>21722.25</v>
      </c>
      <c r="E64" s="482">
        <f>E63/12</f>
        <v>21296.666666666668</v>
      </c>
      <c r="F64" s="467">
        <f>ROUND(F63/12,2)</f>
        <v>22200.58</v>
      </c>
      <c r="G64" s="478">
        <f>G63/12</f>
        <v>21614.5</v>
      </c>
      <c r="H64" s="485">
        <f>ROUND(H63/12,2)</f>
        <v>22531.919999999998</v>
      </c>
      <c r="I64" s="482">
        <f>I63/12</f>
        <v>22073.5</v>
      </c>
      <c r="J64" s="467">
        <f>ROUND(J63/12,2)</f>
        <v>23010.42</v>
      </c>
      <c r="K64" s="478">
        <f>K63/12</f>
        <v>22391.166666666668</v>
      </c>
      <c r="L64" s="485">
        <f>ROUND(L63/12,2)</f>
        <v>23341.58</v>
      </c>
      <c r="M64" s="490"/>
      <c r="N64" s="468"/>
      <c r="O64" s="470">
        <f>ROUND(O63/12,2)</f>
        <v>20599.57</v>
      </c>
    </row>
    <row r="65" spans="1:15" ht="16" thickBot="1" x14ac:dyDescent="0.25">
      <c r="A65" s="1590"/>
      <c r="B65" s="450" t="s">
        <v>251</v>
      </c>
      <c r="C65" s="226">
        <f>C63/12</f>
        <v>20837.75</v>
      </c>
      <c r="D65" s="227">
        <f>ROUND(D64/160.33,2)</f>
        <v>135.47999999999999</v>
      </c>
      <c r="E65" s="483"/>
      <c r="F65" s="227">
        <f t="shared" ref="F65:O65" si="20">ROUND(F64/160.33,2)</f>
        <v>138.47</v>
      </c>
      <c r="G65" s="227">
        <f t="shared" si="20"/>
        <v>134.81</v>
      </c>
      <c r="H65" s="227">
        <f t="shared" si="20"/>
        <v>140.53</v>
      </c>
      <c r="I65" s="227">
        <f t="shared" si="20"/>
        <v>137.68</v>
      </c>
      <c r="J65" s="227">
        <f t="shared" si="20"/>
        <v>143.52000000000001</v>
      </c>
      <c r="K65" s="227">
        <f t="shared" si="20"/>
        <v>139.66</v>
      </c>
      <c r="L65" s="227">
        <f t="shared" si="20"/>
        <v>145.58000000000001</v>
      </c>
      <c r="M65" s="227">
        <f t="shared" si="20"/>
        <v>0</v>
      </c>
      <c r="N65" s="227">
        <f t="shared" si="20"/>
        <v>0</v>
      </c>
      <c r="O65" s="227">
        <f t="shared" si="20"/>
        <v>128.47999999999999</v>
      </c>
    </row>
    <row r="66" spans="1:15" x14ac:dyDescent="0.2">
      <c r="A66" s="1588">
        <v>21</v>
      </c>
      <c r="B66" s="220" t="s">
        <v>100</v>
      </c>
      <c r="C66" s="221">
        <v>254192</v>
      </c>
      <c r="D66" s="225">
        <f>ROUND((C66*(1+'Løntabel gældende fra'!$D$7%)),0)</f>
        <v>264981</v>
      </c>
      <c r="E66" s="223">
        <v>259841</v>
      </c>
      <c r="F66" s="224">
        <f>ROUND((E66*(1+'Løntabel gældende fra'!$D$7%)),0)</f>
        <v>270870</v>
      </c>
      <c r="G66" s="221">
        <v>263752</v>
      </c>
      <c r="H66" s="225">
        <f>ROUND((G66*(1+'Løntabel gældende fra'!$D$7%)),0)</f>
        <v>274947</v>
      </c>
      <c r="I66" s="223">
        <v>269401</v>
      </c>
      <c r="J66" s="224">
        <f>ROUND((I66*(1+'Løntabel gældende fra'!$D$7%)),0)</f>
        <v>280836</v>
      </c>
      <c r="K66" s="221">
        <v>273312</v>
      </c>
      <c r="L66" s="225">
        <f>ROUND((K66*(1+'Løntabel gældende fra'!$D$7%)),0)</f>
        <v>284913</v>
      </c>
      <c r="M66" s="492"/>
      <c r="N66" s="471">
        <v>241583.32</v>
      </c>
      <c r="O66" s="472">
        <f>ROUND(N66*(1+'Løntabel gældende fra'!$D$7%),2)</f>
        <v>251837.57</v>
      </c>
    </row>
    <row r="67" spans="1:15" x14ac:dyDescent="0.2">
      <c r="A67" s="1589"/>
      <c r="B67" s="473" t="s">
        <v>261</v>
      </c>
      <c r="C67" s="478"/>
      <c r="D67" s="485">
        <f>ROUND(D66/12,2)</f>
        <v>22081.75</v>
      </c>
      <c r="E67" s="482">
        <f>E66/12</f>
        <v>21653.416666666668</v>
      </c>
      <c r="F67" s="467">
        <f>ROUND(F66/12,2)</f>
        <v>22572.5</v>
      </c>
      <c r="G67" s="478">
        <f>G66/12</f>
        <v>21979.333333333332</v>
      </c>
      <c r="H67" s="485">
        <f>ROUND(H66/12,2)</f>
        <v>22912.25</v>
      </c>
      <c r="I67" s="482">
        <f>I66/12</f>
        <v>22450.083333333332</v>
      </c>
      <c r="J67" s="467">
        <f>ROUND(J66/12,2)</f>
        <v>23403</v>
      </c>
      <c r="K67" s="478">
        <f>K66/12</f>
        <v>22776</v>
      </c>
      <c r="L67" s="485">
        <f>ROUND(L66/12,2)</f>
        <v>23742.75</v>
      </c>
      <c r="M67" s="490"/>
      <c r="N67" s="468"/>
      <c r="O67" s="470">
        <f>ROUND(O66/12,2)</f>
        <v>20986.46</v>
      </c>
    </row>
    <row r="68" spans="1:15" ht="16" thickBot="1" x14ac:dyDescent="0.25">
      <c r="A68" s="1592"/>
      <c r="B68" s="474" t="s">
        <v>251</v>
      </c>
      <c r="C68" s="481">
        <f>C66/12</f>
        <v>21182.666666666668</v>
      </c>
      <c r="D68" s="227">
        <f>ROUND(D67/160.33,2)</f>
        <v>137.72999999999999</v>
      </c>
      <c r="E68" s="484"/>
      <c r="F68" s="227">
        <f t="shared" ref="F68:O68" si="21">ROUND(F67/160.33,2)</f>
        <v>140.79</v>
      </c>
      <c r="G68" s="227">
        <f t="shared" si="21"/>
        <v>137.09</v>
      </c>
      <c r="H68" s="227">
        <f t="shared" si="21"/>
        <v>142.91</v>
      </c>
      <c r="I68" s="227">
        <f t="shared" si="21"/>
        <v>140.02000000000001</v>
      </c>
      <c r="J68" s="227">
        <f t="shared" si="21"/>
        <v>145.97</v>
      </c>
      <c r="K68" s="227">
        <f t="shared" si="21"/>
        <v>142.06</v>
      </c>
      <c r="L68" s="227">
        <f t="shared" si="21"/>
        <v>148.09</v>
      </c>
      <c r="M68" s="227">
        <f t="shared" si="21"/>
        <v>0</v>
      </c>
      <c r="N68" s="227">
        <f t="shared" si="21"/>
        <v>0</v>
      </c>
      <c r="O68" s="227">
        <f t="shared" si="21"/>
        <v>130.9</v>
      </c>
    </row>
    <row r="69" spans="1:15" x14ac:dyDescent="0.2">
      <c r="A69" s="1591">
        <v>22</v>
      </c>
      <c r="B69" s="233" t="s">
        <v>100</v>
      </c>
      <c r="C69" s="229">
        <v>258027</v>
      </c>
      <c r="D69" s="222">
        <f>ROUND((C69*(1+'Løntabel gældende fra'!$D$7%)),0)</f>
        <v>268979</v>
      </c>
      <c r="E69" s="230">
        <v>263676</v>
      </c>
      <c r="F69" s="231">
        <f>ROUND((E69*(1+'Løntabel gældende fra'!$D$7%)),0)</f>
        <v>274868</v>
      </c>
      <c r="G69" s="229">
        <v>267587</v>
      </c>
      <c r="H69" s="222">
        <f>ROUND((G69*(1+'Løntabel gældende fra'!$D$7%)),0)</f>
        <v>278945</v>
      </c>
      <c r="I69" s="230">
        <v>273236</v>
      </c>
      <c r="J69" s="231">
        <f>ROUND((I69*(1+'Løntabel gældende fra'!$D$7%)),0)</f>
        <v>284834</v>
      </c>
      <c r="K69" s="229">
        <v>277147</v>
      </c>
      <c r="L69" s="222">
        <f>ROUND((K69*(1+'Løntabel gældende fra'!$D$7%)),0)</f>
        <v>288911</v>
      </c>
      <c r="M69" s="491"/>
      <c r="N69" s="469">
        <v>246033.33</v>
      </c>
      <c r="O69" s="236">
        <f>ROUND(N69*(1+'Løntabel gældende fra'!$D$7%),2)</f>
        <v>256476.46</v>
      </c>
    </row>
    <row r="70" spans="1:15" x14ac:dyDescent="0.2">
      <c r="A70" s="1589"/>
      <c r="B70" s="475" t="s">
        <v>261</v>
      </c>
      <c r="C70" s="478"/>
      <c r="D70" s="485">
        <f>ROUND(D69/12,2)</f>
        <v>22414.92</v>
      </c>
      <c r="E70" s="482">
        <f>E69/12</f>
        <v>21973</v>
      </c>
      <c r="F70" s="467">
        <f>ROUND(F69/12,2)</f>
        <v>22905.67</v>
      </c>
      <c r="G70" s="478">
        <f>G69/12</f>
        <v>22298.916666666668</v>
      </c>
      <c r="H70" s="485">
        <f>ROUND(H69/12,2)</f>
        <v>23245.42</v>
      </c>
      <c r="I70" s="482">
        <f>I69/12</f>
        <v>22769.666666666668</v>
      </c>
      <c r="J70" s="467">
        <f>ROUND(J69/12,2)</f>
        <v>23736.17</v>
      </c>
      <c r="K70" s="478">
        <f>K69/12</f>
        <v>23095.583333333332</v>
      </c>
      <c r="L70" s="485">
        <f>ROUND(L69/12,2)</f>
        <v>24075.919999999998</v>
      </c>
      <c r="M70" s="490"/>
      <c r="N70" s="468"/>
      <c r="O70" s="470">
        <f>ROUND(O69/12,2)</f>
        <v>21373.040000000001</v>
      </c>
    </row>
    <row r="71" spans="1:15" ht="16" thickBot="1" x14ac:dyDescent="0.25">
      <c r="A71" s="1590"/>
      <c r="B71" s="476" t="s">
        <v>251</v>
      </c>
      <c r="C71" s="226">
        <v>262137</v>
      </c>
      <c r="D71" s="227">
        <f>ROUND(D70/160.33,2)</f>
        <v>139.80000000000001</v>
      </c>
      <c r="E71" s="483"/>
      <c r="F71" s="227">
        <f t="shared" ref="F71:O71" si="22">ROUND(F70/160.33,2)</f>
        <v>142.87</v>
      </c>
      <c r="G71" s="227">
        <f t="shared" si="22"/>
        <v>139.08000000000001</v>
      </c>
      <c r="H71" s="227">
        <f t="shared" si="22"/>
        <v>144.97999999999999</v>
      </c>
      <c r="I71" s="227">
        <f t="shared" si="22"/>
        <v>142.02000000000001</v>
      </c>
      <c r="J71" s="227">
        <f t="shared" si="22"/>
        <v>148.05000000000001</v>
      </c>
      <c r="K71" s="227">
        <f t="shared" si="22"/>
        <v>144.05000000000001</v>
      </c>
      <c r="L71" s="227">
        <f t="shared" si="22"/>
        <v>150.16</v>
      </c>
      <c r="M71" s="227">
        <f t="shared" si="22"/>
        <v>0</v>
      </c>
      <c r="N71" s="227">
        <f t="shared" si="22"/>
        <v>0</v>
      </c>
      <c r="O71" s="227">
        <f t="shared" si="22"/>
        <v>133.31</v>
      </c>
    </row>
    <row r="72" spans="1:15" x14ac:dyDescent="0.2">
      <c r="A72" s="1588">
        <v>23</v>
      </c>
      <c r="B72" s="232" t="s">
        <v>100</v>
      </c>
      <c r="C72" s="221">
        <v>262137</v>
      </c>
      <c r="D72" s="225">
        <f>ROUND((C72*(1+'Løntabel gældende fra'!$D$7%)),0)</f>
        <v>273264</v>
      </c>
      <c r="E72" s="223">
        <v>267629</v>
      </c>
      <c r="F72" s="224">
        <f>ROUND((E72*(1+'Løntabel gældende fra'!$D$7%)),0)</f>
        <v>278989</v>
      </c>
      <c r="G72" s="221">
        <v>271434</v>
      </c>
      <c r="H72" s="225">
        <f>ROUND((G72*(1+'Løntabel gældende fra'!$D$7%)),0)</f>
        <v>282955</v>
      </c>
      <c r="I72" s="223">
        <v>276928</v>
      </c>
      <c r="J72" s="224">
        <f>ROUND((I72*(1+'Løntabel gældende fra'!$D$7%)),0)</f>
        <v>288682</v>
      </c>
      <c r="K72" s="221">
        <v>280730</v>
      </c>
      <c r="L72" s="225">
        <f>ROUND((K72*(1+'Løntabel gældende fra'!$D$7%)),0)</f>
        <v>292646</v>
      </c>
      <c r="M72" s="492"/>
      <c r="N72" s="471">
        <v>250472.55</v>
      </c>
      <c r="O72" s="472">
        <f>ROUND(N72*(1+'Løntabel gældende fra'!$D$7%),2)</f>
        <v>261104.11</v>
      </c>
    </row>
    <row r="73" spans="1:15" x14ac:dyDescent="0.2">
      <c r="A73" s="1589"/>
      <c r="B73" s="475" t="s">
        <v>261</v>
      </c>
      <c r="C73" s="478"/>
      <c r="D73" s="485">
        <f>ROUND(D72/12,2)</f>
        <v>22772</v>
      </c>
      <c r="E73" s="482">
        <f>E72/12</f>
        <v>22302.416666666668</v>
      </c>
      <c r="F73" s="467">
        <f>ROUND(F72/12,2)</f>
        <v>23249.08</v>
      </c>
      <c r="G73" s="478">
        <f>G72/12</f>
        <v>22619.5</v>
      </c>
      <c r="H73" s="485">
        <f>ROUND(H72/12,2)</f>
        <v>23579.58</v>
      </c>
      <c r="I73" s="482">
        <f>I72/12</f>
        <v>23077.333333333332</v>
      </c>
      <c r="J73" s="467">
        <f>ROUND(J72/12,2)</f>
        <v>24056.83</v>
      </c>
      <c r="K73" s="478">
        <f>K72/12</f>
        <v>23394.166666666668</v>
      </c>
      <c r="L73" s="485">
        <f>ROUND(L72/12,2)</f>
        <v>24387.17</v>
      </c>
      <c r="M73" s="490"/>
      <c r="N73" s="468"/>
      <c r="O73" s="470">
        <f>ROUND(O72/12,2)</f>
        <v>21758.68</v>
      </c>
    </row>
    <row r="74" spans="1:15" ht="16" thickBot="1" x14ac:dyDescent="0.25">
      <c r="A74" s="1592"/>
      <c r="B74" s="477" t="s">
        <v>251</v>
      </c>
      <c r="C74" s="481">
        <f>C72/12</f>
        <v>21844.75</v>
      </c>
      <c r="D74" s="227">
        <f>ROUND(D73/160.33,2)</f>
        <v>142.03</v>
      </c>
      <c r="E74" s="484"/>
      <c r="F74" s="227">
        <f t="shared" ref="F74:O74" si="23">ROUND(F73/160.33,2)</f>
        <v>145.01</v>
      </c>
      <c r="G74" s="227">
        <f t="shared" si="23"/>
        <v>141.08000000000001</v>
      </c>
      <c r="H74" s="227">
        <f t="shared" si="23"/>
        <v>147.07</v>
      </c>
      <c r="I74" s="227">
        <f t="shared" si="23"/>
        <v>143.94</v>
      </c>
      <c r="J74" s="227">
        <f t="shared" si="23"/>
        <v>150.05000000000001</v>
      </c>
      <c r="K74" s="227">
        <f t="shared" si="23"/>
        <v>145.91</v>
      </c>
      <c r="L74" s="227">
        <f t="shared" si="23"/>
        <v>152.11000000000001</v>
      </c>
      <c r="M74" s="227">
        <f t="shared" si="23"/>
        <v>0</v>
      </c>
      <c r="N74" s="227">
        <f t="shared" si="23"/>
        <v>0</v>
      </c>
      <c r="O74" s="227">
        <f t="shared" si="23"/>
        <v>135.71</v>
      </c>
    </row>
    <row r="75" spans="1:15" x14ac:dyDescent="0.2">
      <c r="A75" s="1591">
        <v>24</v>
      </c>
      <c r="B75" s="233" t="s">
        <v>100</v>
      </c>
      <c r="C75" s="229">
        <v>266372</v>
      </c>
      <c r="D75" s="222">
        <f>ROUND((C75*(1+'Løntabel gældende fra'!$D$7%)),0)</f>
        <v>277678</v>
      </c>
      <c r="E75" s="230">
        <v>271710</v>
      </c>
      <c r="F75" s="231">
        <f>ROUND((E75*(1+'Løntabel gældende fra'!$D$7%)),0)</f>
        <v>283243</v>
      </c>
      <c r="G75" s="229">
        <v>275406</v>
      </c>
      <c r="H75" s="222">
        <f>ROUND((G75*(1+'Løntabel gældende fra'!$D$7%)),0)</f>
        <v>287096</v>
      </c>
      <c r="I75" s="230">
        <v>280745</v>
      </c>
      <c r="J75" s="231">
        <f>ROUND((I75*(1+'Løntabel gældende fra'!$D$7%)),0)</f>
        <v>292662</v>
      </c>
      <c r="K75" s="229">
        <v>284441</v>
      </c>
      <c r="L75" s="222">
        <f>ROUND((K75*(1+'Løntabel gældende fra'!$D$7%)),0)</f>
        <v>296514</v>
      </c>
      <c r="M75" s="491"/>
      <c r="N75" s="469">
        <v>255037.97</v>
      </c>
      <c r="O75" s="236">
        <f>ROUND(N75*(1+'Løntabel gældende fra'!$D$7%),2)</f>
        <v>265863.31</v>
      </c>
    </row>
    <row r="76" spans="1:15" x14ac:dyDescent="0.2">
      <c r="A76" s="1589"/>
      <c r="B76" s="475" t="s">
        <v>261</v>
      </c>
      <c r="C76" s="478"/>
      <c r="D76" s="485">
        <f>ROUND(D75/12,2)</f>
        <v>23139.83</v>
      </c>
      <c r="E76" s="482">
        <f>E75/12</f>
        <v>22642.5</v>
      </c>
      <c r="F76" s="467">
        <f>ROUND(F75/12,2)</f>
        <v>23603.58</v>
      </c>
      <c r="G76" s="478">
        <f>G75/12</f>
        <v>22950.5</v>
      </c>
      <c r="H76" s="485">
        <f>ROUND(H75/12,2)</f>
        <v>23924.67</v>
      </c>
      <c r="I76" s="482">
        <f>I75/12</f>
        <v>23395.416666666668</v>
      </c>
      <c r="J76" s="467">
        <f>ROUND(J75/12,2)</f>
        <v>24388.5</v>
      </c>
      <c r="K76" s="478">
        <f>K75/12</f>
        <v>23703.416666666668</v>
      </c>
      <c r="L76" s="485">
        <f>ROUND(L75/12,2)</f>
        <v>24709.5</v>
      </c>
      <c r="M76" s="490"/>
      <c r="N76" s="468"/>
      <c r="O76" s="470">
        <f>ROUND(O75/12,2)</f>
        <v>22155.279999999999</v>
      </c>
    </row>
    <row r="77" spans="1:15" ht="16" thickBot="1" x14ac:dyDescent="0.25">
      <c r="A77" s="1590"/>
      <c r="B77" s="476" t="s">
        <v>251</v>
      </c>
      <c r="C77" s="226">
        <f>C75/12</f>
        <v>22197.666666666668</v>
      </c>
      <c r="D77" s="227">
        <f>ROUND(D76/160.33,2)</f>
        <v>144.33000000000001</v>
      </c>
      <c r="E77" s="483"/>
      <c r="F77" s="227">
        <f t="shared" ref="F77:O77" si="24">ROUND(F76/160.33,2)</f>
        <v>147.22</v>
      </c>
      <c r="G77" s="227">
        <f t="shared" si="24"/>
        <v>143.15</v>
      </c>
      <c r="H77" s="227">
        <f t="shared" si="24"/>
        <v>149.22</v>
      </c>
      <c r="I77" s="227">
        <f t="shared" si="24"/>
        <v>145.91999999999999</v>
      </c>
      <c r="J77" s="227">
        <f t="shared" si="24"/>
        <v>152.11000000000001</v>
      </c>
      <c r="K77" s="227">
        <f t="shared" si="24"/>
        <v>147.84</v>
      </c>
      <c r="L77" s="227">
        <f t="shared" si="24"/>
        <v>154.12</v>
      </c>
      <c r="M77" s="227">
        <f t="shared" si="24"/>
        <v>0</v>
      </c>
      <c r="N77" s="227">
        <f t="shared" si="24"/>
        <v>0</v>
      </c>
      <c r="O77" s="227">
        <f t="shared" si="24"/>
        <v>138.19</v>
      </c>
    </row>
    <row r="78" spans="1:15" x14ac:dyDescent="0.2">
      <c r="A78" s="1588">
        <v>25</v>
      </c>
      <c r="B78" s="232" t="s">
        <v>100</v>
      </c>
      <c r="C78" s="221">
        <v>270701</v>
      </c>
      <c r="D78" s="225">
        <f>ROUND((C78*(1+'Løntabel gældende fra'!$D$7%)),0)</f>
        <v>282191</v>
      </c>
      <c r="E78" s="223">
        <v>275873</v>
      </c>
      <c r="F78" s="224">
        <f>ROUND((E78*(1+'Løntabel gældende fra'!$D$7%)),0)</f>
        <v>287583</v>
      </c>
      <c r="G78" s="221">
        <v>279454</v>
      </c>
      <c r="H78" s="225">
        <f>ROUND((G78*(1+'Løntabel gældende fra'!$D$7%)),0)</f>
        <v>291316</v>
      </c>
      <c r="I78" s="223">
        <v>284626</v>
      </c>
      <c r="J78" s="224">
        <f>ROUND((I78*(1+'Løntabel gældende fra'!$D$7%)),0)</f>
        <v>296707</v>
      </c>
      <c r="K78" s="221">
        <v>288206</v>
      </c>
      <c r="L78" s="225">
        <f>ROUND((K78*(1+'Løntabel gældende fra'!$D$7%)),0)</f>
        <v>300439</v>
      </c>
      <c r="M78" s="492"/>
      <c r="N78" s="471">
        <v>259721.7</v>
      </c>
      <c r="O78" s="472">
        <f>ROUND(N78*(1+'Løntabel gældende fra'!$D$7%),2)</f>
        <v>270745.84999999998</v>
      </c>
    </row>
    <row r="79" spans="1:15" x14ac:dyDescent="0.2">
      <c r="A79" s="1589"/>
      <c r="B79" s="475" t="s">
        <v>261</v>
      </c>
      <c r="C79" s="478"/>
      <c r="D79" s="485">
        <f>ROUND(D78/12,2)</f>
        <v>23515.919999999998</v>
      </c>
      <c r="E79" s="482">
        <f>E78/12</f>
        <v>22989.416666666668</v>
      </c>
      <c r="F79" s="467">
        <f>ROUND(F78/12,2)</f>
        <v>23965.25</v>
      </c>
      <c r="G79" s="478">
        <f>G78/12</f>
        <v>23287.833333333332</v>
      </c>
      <c r="H79" s="485">
        <f>ROUND(H78/12,2)</f>
        <v>24276.33</v>
      </c>
      <c r="I79" s="482">
        <f>I78/12</f>
        <v>23718.833333333332</v>
      </c>
      <c r="J79" s="467">
        <f>ROUND(J78/12,2)</f>
        <v>24725.58</v>
      </c>
      <c r="K79" s="478">
        <f>K78/12</f>
        <v>24017.166666666668</v>
      </c>
      <c r="L79" s="485">
        <f>ROUND(L78/12,2)</f>
        <v>25036.58</v>
      </c>
      <c r="M79" s="490"/>
      <c r="N79" s="468"/>
      <c r="O79" s="470">
        <f>ROUND(O78/12,2)</f>
        <v>22562.15</v>
      </c>
    </row>
    <row r="80" spans="1:15" ht="16" thickBot="1" x14ac:dyDescent="0.25">
      <c r="A80" s="1592"/>
      <c r="B80" s="477" t="s">
        <v>251</v>
      </c>
      <c r="C80" s="481">
        <f>C78/12</f>
        <v>22558.416666666668</v>
      </c>
      <c r="D80" s="227">
        <f>ROUND(D79/160.33,2)</f>
        <v>146.66999999999999</v>
      </c>
      <c r="E80" s="484"/>
      <c r="F80" s="227">
        <f t="shared" ref="F80:O80" si="25">ROUND(F79/160.33,2)</f>
        <v>149.47</v>
      </c>
      <c r="G80" s="227">
        <f t="shared" si="25"/>
        <v>145.25</v>
      </c>
      <c r="H80" s="227">
        <f t="shared" si="25"/>
        <v>151.41</v>
      </c>
      <c r="I80" s="227">
        <f t="shared" si="25"/>
        <v>147.94</v>
      </c>
      <c r="J80" s="227">
        <f t="shared" si="25"/>
        <v>154.22</v>
      </c>
      <c r="K80" s="227">
        <f t="shared" si="25"/>
        <v>149.80000000000001</v>
      </c>
      <c r="L80" s="227">
        <f t="shared" si="25"/>
        <v>156.16</v>
      </c>
      <c r="M80" s="227">
        <f t="shared" si="25"/>
        <v>0</v>
      </c>
      <c r="N80" s="227">
        <f t="shared" si="25"/>
        <v>0</v>
      </c>
      <c r="O80" s="227">
        <f t="shared" si="25"/>
        <v>140.72</v>
      </c>
    </row>
    <row r="81" spans="1:15" x14ac:dyDescent="0.2">
      <c r="A81" s="1591">
        <v>26</v>
      </c>
      <c r="B81" s="233" t="s">
        <v>100</v>
      </c>
      <c r="C81" s="229">
        <v>275131</v>
      </c>
      <c r="D81" s="222">
        <f>ROUND((C81*(1+'Løntabel gældende fra'!$D$7%)),0)</f>
        <v>286809</v>
      </c>
      <c r="E81" s="230">
        <v>280123</v>
      </c>
      <c r="F81" s="231">
        <f>ROUND((E81*(1+'Løntabel gældende fra'!$D$7%)),0)</f>
        <v>292013</v>
      </c>
      <c r="G81" s="229">
        <v>283580</v>
      </c>
      <c r="H81" s="222">
        <f>ROUND((G81*(1+'Løntabel gældende fra'!$D$7%)),0)</f>
        <v>295617</v>
      </c>
      <c r="I81" s="230">
        <v>288573</v>
      </c>
      <c r="J81" s="231">
        <f>ROUND((I81*(1+'Løntabel gældende fra'!$D$7%)),0)</f>
        <v>300822</v>
      </c>
      <c r="K81" s="229">
        <v>292029</v>
      </c>
      <c r="L81" s="222">
        <f>ROUND((K81*(1+'Løntabel gældende fra'!$D$7%)),0)</f>
        <v>304424</v>
      </c>
      <c r="M81" s="491"/>
      <c r="N81" s="469">
        <v>264528.59000000003</v>
      </c>
      <c r="O81" s="236">
        <f>ROUND(N81*(1+'Løntabel gældende fra'!$D$7%),2)</f>
        <v>275756.77</v>
      </c>
    </row>
    <row r="82" spans="1:15" x14ac:dyDescent="0.2">
      <c r="A82" s="1589"/>
      <c r="B82" s="475" t="s">
        <v>261</v>
      </c>
      <c r="C82" s="478"/>
      <c r="D82" s="485">
        <f>ROUND(D81/12,2)</f>
        <v>23900.75</v>
      </c>
      <c r="E82" s="482">
        <f>E81/12</f>
        <v>23343.583333333332</v>
      </c>
      <c r="F82" s="467">
        <f>ROUND(F81/12,2)</f>
        <v>24334.42</v>
      </c>
      <c r="G82" s="478">
        <f>G81/12</f>
        <v>23631.666666666668</v>
      </c>
      <c r="H82" s="485">
        <f>ROUND(H81/12,2)</f>
        <v>24634.75</v>
      </c>
      <c r="I82" s="482">
        <f>I81/12</f>
        <v>24047.75</v>
      </c>
      <c r="J82" s="467">
        <f>ROUND(J81/12,2)</f>
        <v>25068.5</v>
      </c>
      <c r="K82" s="478">
        <f>K81/12</f>
        <v>24335.75</v>
      </c>
      <c r="L82" s="485">
        <f>ROUND(L81/12,2)</f>
        <v>25368.67</v>
      </c>
      <c r="M82" s="490"/>
      <c r="N82" s="468"/>
      <c r="O82" s="470">
        <f>ROUND(O81/12,2)</f>
        <v>22979.73</v>
      </c>
    </row>
    <row r="83" spans="1:15" ht="16" thickBot="1" x14ac:dyDescent="0.25">
      <c r="A83" s="1590"/>
      <c r="B83" s="476" t="s">
        <v>251</v>
      </c>
      <c r="C83" s="226">
        <f>C81/12</f>
        <v>22927.583333333332</v>
      </c>
      <c r="D83" s="227">
        <f>ROUND(D82/160.33,2)</f>
        <v>149.07</v>
      </c>
      <c r="E83" s="483"/>
      <c r="F83" s="227">
        <f t="shared" ref="F83:O83" si="26">ROUND(F82/160.33,2)</f>
        <v>151.78</v>
      </c>
      <c r="G83" s="227">
        <f t="shared" si="26"/>
        <v>147.38999999999999</v>
      </c>
      <c r="H83" s="227">
        <f t="shared" si="26"/>
        <v>153.65</v>
      </c>
      <c r="I83" s="227">
        <f t="shared" si="26"/>
        <v>149.99</v>
      </c>
      <c r="J83" s="227">
        <f t="shared" si="26"/>
        <v>156.36000000000001</v>
      </c>
      <c r="K83" s="227">
        <f t="shared" si="26"/>
        <v>151.79</v>
      </c>
      <c r="L83" s="227">
        <f t="shared" si="26"/>
        <v>158.22999999999999</v>
      </c>
      <c r="M83" s="227">
        <f t="shared" si="26"/>
        <v>0</v>
      </c>
      <c r="N83" s="227">
        <f t="shared" si="26"/>
        <v>0</v>
      </c>
      <c r="O83" s="227">
        <f t="shared" si="26"/>
        <v>143.33000000000001</v>
      </c>
    </row>
    <row r="84" spans="1:15" x14ac:dyDescent="0.2">
      <c r="A84" s="1588">
        <v>27</v>
      </c>
      <c r="B84" s="232" t="s">
        <v>100</v>
      </c>
      <c r="C84" s="221">
        <v>279656</v>
      </c>
      <c r="D84" s="225">
        <f>ROUND((C84*(1+'Løntabel gældende fra'!$D$7%)),0)</f>
        <v>291526</v>
      </c>
      <c r="E84" s="223">
        <v>284456</v>
      </c>
      <c r="F84" s="224">
        <f>ROUND((E84*(1+'Løntabel gældende fra'!$D$7%)),0)</f>
        <v>296530</v>
      </c>
      <c r="G84" s="221">
        <v>287782</v>
      </c>
      <c r="H84" s="225">
        <f>ROUND((G84*(1+'Løntabel gældende fra'!$D$7%)),0)</f>
        <v>299997</v>
      </c>
      <c r="I84" s="223">
        <v>292583</v>
      </c>
      <c r="J84" s="224">
        <f>ROUND((I84*(1+'Løntabel gældende fra'!$D$7%)),0)</f>
        <v>305002</v>
      </c>
      <c r="K84" s="221">
        <v>295908</v>
      </c>
      <c r="L84" s="225">
        <f>ROUND((K84*(1+'Løntabel gældende fra'!$D$7%)),0)</f>
        <v>308468</v>
      </c>
      <c r="M84" s="492"/>
      <c r="N84" s="471">
        <v>269459.90000000002</v>
      </c>
      <c r="O84" s="472">
        <f>ROUND(N84*(1+'Løntabel gældende fra'!$D$7%),2)</f>
        <v>280897.39</v>
      </c>
    </row>
    <row r="85" spans="1:15" x14ac:dyDescent="0.2">
      <c r="A85" s="1589"/>
      <c r="B85" s="475" t="s">
        <v>261</v>
      </c>
      <c r="C85" s="478"/>
      <c r="D85" s="485">
        <f>ROUND(D84/12,2)</f>
        <v>24293.83</v>
      </c>
      <c r="E85" s="482">
        <f>E84/12</f>
        <v>23704.666666666668</v>
      </c>
      <c r="F85" s="467">
        <f>ROUND(F84/12,2)</f>
        <v>24710.83</v>
      </c>
      <c r="G85" s="478">
        <f>G84/12</f>
        <v>23981.833333333332</v>
      </c>
      <c r="H85" s="485">
        <f>ROUND(H84/12,2)</f>
        <v>24999.75</v>
      </c>
      <c r="I85" s="482">
        <f>I84/12</f>
        <v>24381.916666666668</v>
      </c>
      <c r="J85" s="467">
        <f>ROUND(J84/12,2)</f>
        <v>25416.83</v>
      </c>
      <c r="K85" s="478">
        <f>K84/12</f>
        <v>24659</v>
      </c>
      <c r="L85" s="485">
        <f>ROUND(L84/12,2)</f>
        <v>25705.67</v>
      </c>
      <c r="M85" s="490"/>
      <c r="N85" s="468"/>
      <c r="O85" s="470">
        <f>ROUND(O84/12,2)</f>
        <v>23408.12</v>
      </c>
    </row>
    <row r="86" spans="1:15" ht="16" thickBot="1" x14ac:dyDescent="0.25">
      <c r="A86" s="1592"/>
      <c r="B86" s="477" t="s">
        <v>251</v>
      </c>
      <c r="C86" s="481">
        <f>C84/12</f>
        <v>23304.666666666668</v>
      </c>
      <c r="D86" s="227">
        <f>ROUND(D85/160.33,2)</f>
        <v>151.52000000000001</v>
      </c>
      <c r="E86" s="484"/>
      <c r="F86" s="227">
        <f t="shared" ref="F86:O86" si="27">ROUND(F85/160.33,2)</f>
        <v>154.12</v>
      </c>
      <c r="G86" s="227">
        <f t="shared" si="27"/>
        <v>149.58000000000001</v>
      </c>
      <c r="H86" s="227">
        <f t="shared" si="27"/>
        <v>155.93</v>
      </c>
      <c r="I86" s="227">
        <f t="shared" si="27"/>
        <v>152.07</v>
      </c>
      <c r="J86" s="227">
        <f t="shared" si="27"/>
        <v>158.53</v>
      </c>
      <c r="K86" s="227">
        <f t="shared" si="27"/>
        <v>153.80000000000001</v>
      </c>
      <c r="L86" s="227">
        <f t="shared" si="27"/>
        <v>160.33000000000001</v>
      </c>
      <c r="M86" s="227">
        <f t="shared" si="27"/>
        <v>0</v>
      </c>
      <c r="N86" s="227">
        <f t="shared" si="27"/>
        <v>0</v>
      </c>
      <c r="O86" s="227">
        <f t="shared" si="27"/>
        <v>146</v>
      </c>
    </row>
    <row r="87" spans="1:15" x14ac:dyDescent="0.2">
      <c r="A87" s="1591">
        <v>28</v>
      </c>
      <c r="B87" s="233" t="s">
        <v>100</v>
      </c>
      <c r="C87" s="229">
        <v>284283</v>
      </c>
      <c r="D87" s="222">
        <f>ROUND((C87*(1+'Løntabel gældende fra'!$D$7%)),0)</f>
        <v>296350</v>
      </c>
      <c r="E87" s="230">
        <v>288881</v>
      </c>
      <c r="F87" s="231">
        <f>ROUND((E87*(1+'Løntabel gældende fra'!$D$7%)),0)</f>
        <v>301143</v>
      </c>
      <c r="G87" s="229">
        <v>292064</v>
      </c>
      <c r="H87" s="222">
        <f>ROUND((G87*(1+'Løntabel gældende fra'!$D$7%)),0)</f>
        <v>304461</v>
      </c>
      <c r="I87" s="230">
        <v>296661</v>
      </c>
      <c r="J87" s="231">
        <f>ROUND((I87*(1+'Løntabel gældende fra'!$D$7%)),0)</f>
        <v>309253</v>
      </c>
      <c r="K87" s="229">
        <v>299845</v>
      </c>
      <c r="L87" s="222">
        <f>ROUND((K87*(1+'Løntabel gældende fra'!$D$7%)),0)</f>
        <v>312572</v>
      </c>
      <c r="M87" s="491"/>
      <c r="N87" s="469">
        <v>274522.23</v>
      </c>
      <c r="O87" s="236">
        <f>ROUND(N87*(1+'Løntabel gældende fra'!$D$7%),2)</f>
        <v>286174.59999999998</v>
      </c>
    </row>
    <row r="88" spans="1:15" x14ac:dyDescent="0.2">
      <c r="A88" s="1589"/>
      <c r="B88" s="475" t="s">
        <v>261</v>
      </c>
      <c r="C88" s="478"/>
      <c r="D88" s="485">
        <f>ROUND(D87/12,2)</f>
        <v>24695.83</v>
      </c>
      <c r="E88" s="482">
        <f>E87/12</f>
        <v>24073.416666666668</v>
      </c>
      <c r="F88" s="467">
        <f>ROUND(F87/12,2)</f>
        <v>25095.25</v>
      </c>
      <c r="G88" s="478">
        <f>G87/12</f>
        <v>24338.666666666668</v>
      </c>
      <c r="H88" s="485">
        <f>ROUND(H87/12,2)</f>
        <v>25371.75</v>
      </c>
      <c r="I88" s="482">
        <f>I87/12</f>
        <v>24721.75</v>
      </c>
      <c r="J88" s="467">
        <f>ROUND(J87/12,2)</f>
        <v>25771.08</v>
      </c>
      <c r="K88" s="478">
        <f>K87/12</f>
        <v>24987.083333333332</v>
      </c>
      <c r="L88" s="485">
        <f>ROUND(L87/12,2)</f>
        <v>26047.67</v>
      </c>
      <c r="M88" s="490"/>
      <c r="N88" s="468"/>
      <c r="O88" s="470">
        <f>ROUND(O87/12,2)</f>
        <v>23847.88</v>
      </c>
    </row>
    <row r="89" spans="1:15" ht="16" thickBot="1" x14ac:dyDescent="0.25">
      <c r="A89" s="1590"/>
      <c r="B89" s="476" t="s">
        <v>251</v>
      </c>
      <c r="C89" s="226">
        <f>C87/12</f>
        <v>23690.25</v>
      </c>
      <c r="D89" s="227">
        <f>ROUND(D88/160.33,2)</f>
        <v>154.03</v>
      </c>
      <c r="E89" s="227">
        <f t="shared" ref="E89:O89" si="28">ROUND(E88/160.33,2)</f>
        <v>150.15</v>
      </c>
      <c r="F89" s="227">
        <f t="shared" si="28"/>
        <v>156.52000000000001</v>
      </c>
      <c r="G89" s="227">
        <f t="shared" si="28"/>
        <v>151.80000000000001</v>
      </c>
      <c r="H89" s="227">
        <f t="shared" si="28"/>
        <v>158.25</v>
      </c>
      <c r="I89" s="227">
        <f t="shared" si="28"/>
        <v>154.19</v>
      </c>
      <c r="J89" s="227">
        <f t="shared" si="28"/>
        <v>160.74</v>
      </c>
      <c r="K89" s="227">
        <f t="shared" si="28"/>
        <v>155.85</v>
      </c>
      <c r="L89" s="227">
        <f t="shared" si="28"/>
        <v>162.46</v>
      </c>
      <c r="M89" s="227">
        <f t="shared" si="28"/>
        <v>0</v>
      </c>
      <c r="N89" s="227">
        <f t="shared" si="28"/>
        <v>0</v>
      </c>
      <c r="O89" s="227">
        <f t="shared" si="28"/>
        <v>148.74</v>
      </c>
    </row>
    <row r="90" spans="1:15" x14ac:dyDescent="0.2">
      <c r="A90" s="1588">
        <v>29</v>
      </c>
      <c r="B90" s="232" t="s">
        <v>100</v>
      </c>
      <c r="C90" s="221">
        <v>289014</v>
      </c>
      <c r="D90" s="225">
        <f>ROUND((C90*(1+'Løntabel gældende fra'!$D$7%)),0)</f>
        <v>301281</v>
      </c>
      <c r="E90" s="223">
        <v>293394</v>
      </c>
      <c r="F90" s="224">
        <f>ROUND((E90*(1+'Løntabel gældende fra'!$D$7%)),0)</f>
        <v>305847</v>
      </c>
      <c r="G90" s="221">
        <v>296427</v>
      </c>
      <c r="H90" s="225">
        <f>ROUND((G90*(1+'Løntabel gældende fra'!$D$7%)),0)</f>
        <v>309009</v>
      </c>
      <c r="I90" s="223">
        <v>300807</v>
      </c>
      <c r="J90" s="224">
        <f>ROUND((I90*(1+'Løntabel gældende fra'!$D$7%)),0)</f>
        <v>313575</v>
      </c>
      <c r="K90" s="221">
        <v>303839</v>
      </c>
      <c r="L90" s="225">
        <f>ROUND((K90*(1+'Løntabel gældende fra'!$D$7%)),0)</f>
        <v>316736</v>
      </c>
      <c r="M90" s="492"/>
      <c r="N90" s="471">
        <v>279714.99</v>
      </c>
      <c r="O90" s="472">
        <f>ROUND(N90*(1+'Løntabel gældende fra'!$D$7%),2)</f>
        <v>291587.77</v>
      </c>
    </row>
    <row r="91" spans="1:15" x14ac:dyDescent="0.2">
      <c r="A91" s="1589"/>
      <c r="B91" s="475" t="s">
        <v>261</v>
      </c>
      <c r="C91" s="478"/>
      <c r="D91" s="485">
        <f>ROUND(D90/12,2)</f>
        <v>25106.75</v>
      </c>
      <c r="E91" s="482">
        <f>E90/12</f>
        <v>24449.5</v>
      </c>
      <c r="F91" s="467">
        <f>ROUND(F90/12,2)</f>
        <v>25487.25</v>
      </c>
      <c r="G91" s="478">
        <f>G90/12</f>
        <v>24702.25</v>
      </c>
      <c r="H91" s="485">
        <f>ROUND(H90/12,2)</f>
        <v>25750.75</v>
      </c>
      <c r="I91" s="482">
        <f>I90/12</f>
        <v>25067.25</v>
      </c>
      <c r="J91" s="467">
        <f>ROUND(J90/12,2)</f>
        <v>26131.25</v>
      </c>
      <c r="K91" s="478">
        <f>K90/12</f>
        <v>25319.916666666668</v>
      </c>
      <c r="L91" s="485">
        <f>ROUND(L90/12,2)</f>
        <v>26394.67</v>
      </c>
      <c r="M91" s="490"/>
      <c r="N91" s="468"/>
      <c r="O91" s="470">
        <f>ROUND(O90/12,2)</f>
        <v>24298.98</v>
      </c>
    </row>
    <row r="92" spans="1:15" ht="16" thickBot="1" x14ac:dyDescent="0.25">
      <c r="A92" s="1592"/>
      <c r="B92" s="477" t="s">
        <v>251</v>
      </c>
      <c r="C92" s="481">
        <f>C90/12</f>
        <v>24084.5</v>
      </c>
      <c r="D92" s="227">
        <f>ROUND(D91/160.33,2)</f>
        <v>156.59</v>
      </c>
      <c r="E92" s="484"/>
      <c r="F92" s="227">
        <f t="shared" ref="F92:O92" si="29">ROUND(F91/160.33,2)</f>
        <v>158.97</v>
      </c>
      <c r="G92" s="227">
        <f t="shared" si="29"/>
        <v>154.07</v>
      </c>
      <c r="H92" s="227">
        <f t="shared" si="29"/>
        <v>160.61000000000001</v>
      </c>
      <c r="I92" s="227">
        <f t="shared" si="29"/>
        <v>156.35</v>
      </c>
      <c r="J92" s="227">
        <f t="shared" si="29"/>
        <v>162.97999999999999</v>
      </c>
      <c r="K92" s="227">
        <f t="shared" si="29"/>
        <v>157.91999999999999</v>
      </c>
      <c r="L92" s="227">
        <f t="shared" si="29"/>
        <v>164.63</v>
      </c>
      <c r="M92" s="227">
        <f t="shared" si="29"/>
        <v>0</v>
      </c>
      <c r="N92" s="227">
        <f t="shared" si="29"/>
        <v>0</v>
      </c>
      <c r="O92" s="227">
        <f t="shared" si="29"/>
        <v>151.56</v>
      </c>
    </row>
    <row r="93" spans="1:15" x14ac:dyDescent="0.2">
      <c r="A93" s="1591">
        <v>30</v>
      </c>
      <c r="B93" s="233" t="s">
        <v>100</v>
      </c>
      <c r="C93" s="229">
        <v>293853</v>
      </c>
      <c r="D93" s="222">
        <f>ROUND((C93*(1+'Løntabel gældende fra'!$D$7%)),0)</f>
        <v>306326</v>
      </c>
      <c r="E93" s="230">
        <v>298001</v>
      </c>
      <c r="F93" s="231">
        <f>ROUND((E93*(1+'Løntabel gældende fra'!$D$7%)),0)</f>
        <v>310650</v>
      </c>
      <c r="G93" s="229">
        <v>300872</v>
      </c>
      <c r="H93" s="222">
        <f>ROUND((G93*(1+'Løntabel gældende fra'!$D$7%)),0)</f>
        <v>313643</v>
      </c>
      <c r="I93" s="230">
        <v>305018</v>
      </c>
      <c r="J93" s="231">
        <f>ROUND((I93*(1+'Løntabel gældende fra'!$D$7%)),0)</f>
        <v>317965</v>
      </c>
      <c r="K93" s="229">
        <v>307890</v>
      </c>
      <c r="L93" s="222">
        <f>ROUND((K93*(1+'Løntabel gældende fra'!$D$7%)),0)</f>
        <v>320959</v>
      </c>
      <c r="M93" s="491"/>
      <c r="N93" s="469">
        <v>285044.74</v>
      </c>
      <c r="O93" s="236">
        <f>ROUND(N93*(1+'Løntabel gældende fra'!$D$7%),2)</f>
        <v>297143.75</v>
      </c>
    </row>
    <row r="94" spans="1:15" x14ac:dyDescent="0.2">
      <c r="A94" s="1589"/>
      <c r="B94" s="475" t="s">
        <v>101</v>
      </c>
      <c r="C94" s="478"/>
      <c r="D94" s="485">
        <f>ROUND(D93/12,2)</f>
        <v>25527.17</v>
      </c>
      <c r="E94" s="482">
        <f>E93/12</f>
        <v>24833.416666666668</v>
      </c>
      <c r="F94" s="467">
        <f>ROUND(F93/12,2)</f>
        <v>25887.5</v>
      </c>
      <c r="G94" s="478">
        <f>G93/12</f>
        <v>25072.666666666668</v>
      </c>
      <c r="H94" s="485">
        <f>ROUND(H93/12,2)</f>
        <v>26136.92</v>
      </c>
      <c r="I94" s="482">
        <f>I93/12</f>
        <v>25418.166666666668</v>
      </c>
      <c r="J94" s="467">
        <f>ROUND(J93/12,2)</f>
        <v>26497.08</v>
      </c>
      <c r="K94" s="478">
        <f>K93/12</f>
        <v>25657.5</v>
      </c>
      <c r="L94" s="485">
        <f>ROUND(L93/12,2)</f>
        <v>26746.58</v>
      </c>
      <c r="M94" s="490"/>
      <c r="N94" s="468"/>
      <c r="O94" s="470">
        <f>ROUND(O93/12,2)</f>
        <v>24761.98</v>
      </c>
    </row>
    <row r="95" spans="1:15" ht="16" thickBot="1" x14ac:dyDescent="0.25">
      <c r="A95" s="1590"/>
      <c r="B95" s="476" t="s">
        <v>251</v>
      </c>
      <c r="C95" s="226">
        <f>C93/12</f>
        <v>24487.75</v>
      </c>
      <c r="D95" s="227">
        <f>ROUND(D94/160.33,2)</f>
        <v>159.22</v>
      </c>
      <c r="E95" s="483"/>
      <c r="F95" s="227">
        <f t="shared" ref="F95:O95" si="30">ROUND(F94/160.33,2)</f>
        <v>161.46</v>
      </c>
      <c r="G95" s="227">
        <f t="shared" si="30"/>
        <v>156.38</v>
      </c>
      <c r="H95" s="227">
        <f t="shared" si="30"/>
        <v>163.02000000000001</v>
      </c>
      <c r="I95" s="227">
        <f t="shared" si="30"/>
        <v>158.54</v>
      </c>
      <c r="J95" s="227">
        <f t="shared" si="30"/>
        <v>165.27</v>
      </c>
      <c r="K95" s="227">
        <f t="shared" si="30"/>
        <v>160.03</v>
      </c>
      <c r="L95" s="227">
        <f t="shared" si="30"/>
        <v>166.82</v>
      </c>
      <c r="M95" s="227">
        <f t="shared" si="30"/>
        <v>0</v>
      </c>
      <c r="N95" s="227">
        <f t="shared" si="30"/>
        <v>0</v>
      </c>
      <c r="O95" s="227">
        <f t="shared" si="30"/>
        <v>154.44</v>
      </c>
    </row>
    <row r="96" spans="1:15" x14ac:dyDescent="0.2">
      <c r="A96" s="1588">
        <v>31</v>
      </c>
      <c r="B96" s="232" t="s">
        <v>100</v>
      </c>
      <c r="C96" s="221">
        <v>298795</v>
      </c>
      <c r="D96" s="225">
        <f>ROUND((C96*(1+'Løntabel gældende fra'!$D$7%)),0)</f>
        <v>311478</v>
      </c>
      <c r="E96" s="223">
        <v>302696</v>
      </c>
      <c r="F96" s="224">
        <f>ROUND((E96*(1+'Løntabel gældende fra'!$D$7%)),0)</f>
        <v>315544</v>
      </c>
      <c r="G96" s="221">
        <v>305398</v>
      </c>
      <c r="H96" s="225">
        <f>ROUND((G96*(1+'Løntabel gældende fra'!$D$7%)),0)</f>
        <v>318361</v>
      </c>
      <c r="I96" s="223">
        <v>309299</v>
      </c>
      <c r="J96" s="224">
        <f>ROUND((I96*(1+'Løntabel gældende fra'!$D$7%)),0)</f>
        <v>322428</v>
      </c>
      <c r="K96" s="221">
        <v>312000</v>
      </c>
      <c r="L96" s="225">
        <f>ROUND((K96*(1+'Løntabel gældende fra'!$D$7%)),0)</f>
        <v>325243</v>
      </c>
      <c r="M96" s="492"/>
      <c r="N96" s="471">
        <v>290512.64000000001</v>
      </c>
      <c r="O96" s="472">
        <f>ROUND(N96*(1+'Løntabel gældende fra'!$D$7%),2)</f>
        <v>302843.74</v>
      </c>
    </row>
    <row r="97" spans="1:15" x14ac:dyDescent="0.2">
      <c r="A97" s="1589"/>
      <c r="B97" s="475" t="s">
        <v>261</v>
      </c>
      <c r="C97" s="478"/>
      <c r="D97" s="485">
        <f>ROUND(D96/12,2)</f>
        <v>25956.5</v>
      </c>
      <c r="E97" s="482">
        <f>E96/12</f>
        <v>25224.666666666668</v>
      </c>
      <c r="F97" s="467">
        <f>ROUND(F96/12,2)</f>
        <v>26295.33</v>
      </c>
      <c r="G97" s="478">
        <f>G96/12</f>
        <v>25449.833333333332</v>
      </c>
      <c r="H97" s="485">
        <f>ROUND(H96/12,2)</f>
        <v>26530.080000000002</v>
      </c>
      <c r="I97" s="482">
        <f>I96/12</f>
        <v>25774.916666666668</v>
      </c>
      <c r="J97" s="467">
        <f>ROUND(J96/12,2)</f>
        <v>26869</v>
      </c>
      <c r="K97" s="478">
        <f>K96/12</f>
        <v>26000</v>
      </c>
      <c r="L97" s="485">
        <f>ROUND(L96/12,2)</f>
        <v>27103.58</v>
      </c>
      <c r="M97" s="490"/>
      <c r="N97" s="468"/>
      <c r="O97" s="470">
        <f>ROUND(O96/12,2)</f>
        <v>25236.98</v>
      </c>
    </row>
    <row r="98" spans="1:15" ht="16" thickBot="1" x14ac:dyDescent="0.25">
      <c r="A98" s="1592"/>
      <c r="B98" s="477" t="s">
        <v>251</v>
      </c>
      <c r="C98" s="481">
        <f>C96/12</f>
        <v>24899.583333333332</v>
      </c>
      <c r="D98" s="227">
        <f>ROUND(D97/160.33,2)</f>
        <v>161.88999999999999</v>
      </c>
      <c r="E98" s="484"/>
      <c r="F98" s="227">
        <f t="shared" ref="F98:O98" si="31">ROUND(F97/160.33,2)</f>
        <v>164.01</v>
      </c>
      <c r="G98" s="227">
        <f t="shared" si="31"/>
        <v>158.72999999999999</v>
      </c>
      <c r="H98" s="227">
        <f t="shared" si="31"/>
        <v>165.47</v>
      </c>
      <c r="I98" s="227">
        <f t="shared" si="31"/>
        <v>160.76</v>
      </c>
      <c r="J98" s="227">
        <f t="shared" si="31"/>
        <v>167.59</v>
      </c>
      <c r="K98" s="227">
        <f t="shared" si="31"/>
        <v>162.16999999999999</v>
      </c>
      <c r="L98" s="227">
        <f t="shared" si="31"/>
        <v>169.05</v>
      </c>
      <c r="M98" s="227">
        <f t="shared" si="31"/>
        <v>0</v>
      </c>
      <c r="N98" s="227">
        <f t="shared" si="31"/>
        <v>0</v>
      </c>
      <c r="O98" s="227">
        <f t="shared" si="31"/>
        <v>157.41</v>
      </c>
    </row>
    <row r="99" spans="1:15" x14ac:dyDescent="0.2">
      <c r="A99" s="1591">
        <v>32</v>
      </c>
      <c r="B99" s="233" t="s">
        <v>100</v>
      </c>
      <c r="C99" s="229">
        <v>303852</v>
      </c>
      <c r="D99" s="222">
        <f>ROUND((C99*(1+'Løntabel gældende fra'!$D$7%)),0)</f>
        <v>316749</v>
      </c>
      <c r="E99" s="230">
        <v>307490</v>
      </c>
      <c r="F99" s="231">
        <f>ROUND((E99*(1+'Løntabel gældende fra'!$D$7%)),0)</f>
        <v>320542</v>
      </c>
      <c r="G99" s="229">
        <v>310009</v>
      </c>
      <c r="H99" s="222">
        <f>ROUND((G99*(1+'Løntabel gældende fra'!$D$7%)),0)</f>
        <v>323168</v>
      </c>
      <c r="I99" s="230">
        <v>313649</v>
      </c>
      <c r="J99" s="231">
        <f>ROUND((I99*(1+'Løntabel gældende fra'!$D$7%)),0)</f>
        <v>326962</v>
      </c>
      <c r="K99" s="229">
        <v>316167</v>
      </c>
      <c r="L99" s="222">
        <f>ROUND((K99*(1+'Løntabel gældende fra'!$D$7%)),0)</f>
        <v>329587</v>
      </c>
      <c r="M99" s="491"/>
      <c r="N99" s="469">
        <v>296125.21000000002</v>
      </c>
      <c r="O99" s="236">
        <f>ROUND(N99*(1+'Løntabel gældende fra'!$D$7%),2)</f>
        <v>308694.53999999998</v>
      </c>
    </row>
    <row r="100" spans="1:15" x14ac:dyDescent="0.2">
      <c r="A100" s="1589"/>
      <c r="B100" s="475" t="s">
        <v>101</v>
      </c>
      <c r="C100" s="478"/>
      <c r="D100" s="485">
        <f>ROUND(D99/12,2)</f>
        <v>26395.75</v>
      </c>
      <c r="E100" s="482">
        <f>E99/12</f>
        <v>25624.166666666668</v>
      </c>
      <c r="F100" s="467">
        <f>ROUND(F99/12,2)</f>
        <v>26711.83</v>
      </c>
      <c r="G100" s="478">
        <f>G99/12</f>
        <v>25834.083333333332</v>
      </c>
      <c r="H100" s="485">
        <f>ROUND(H99/12,2)</f>
        <v>26930.67</v>
      </c>
      <c r="I100" s="482">
        <f>I99/12</f>
        <v>26137.416666666668</v>
      </c>
      <c r="J100" s="467">
        <f>ROUND(J99/12,2)</f>
        <v>27246.83</v>
      </c>
      <c r="K100" s="478">
        <f>K99/12</f>
        <v>26347.25</v>
      </c>
      <c r="L100" s="485">
        <f>ROUND(L99/12,2)</f>
        <v>27465.58</v>
      </c>
      <c r="M100" s="490"/>
      <c r="N100" s="468"/>
      <c r="O100" s="470">
        <f>ROUND(O99/12,2)</f>
        <v>25724.55</v>
      </c>
    </row>
    <row r="101" spans="1:15" ht="16" thickBot="1" x14ac:dyDescent="0.25">
      <c r="A101" s="1590"/>
      <c r="B101" s="476" t="s">
        <v>251</v>
      </c>
      <c r="C101" s="226">
        <f>C99/12</f>
        <v>25321</v>
      </c>
      <c r="D101" s="227">
        <f>ROUND(D100/160.33,2)</f>
        <v>164.63</v>
      </c>
      <c r="E101" s="483"/>
      <c r="F101" s="227">
        <f t="shared" ref="F101:O101" si="32">ROUND(F100/160.33,2)</f>
        <v>166.61</v>
      </c>
      <c r="G101" s="227">
        <f t="shared" si="32"/>
        <v>161.13</v>
      </c>
      <c r="H101" s="227">
        <f t="shared" si="32"/>
        <v>167.97</v>
      </c>
      <c r="I101" s="227">
        <f t="shared" si="32"/>
        <v>163.02000000000001</v>
      </c>
      <c r="J101" s="227">
        <f t="shared" si="32"/>
        <v>169.94</v>
      </c>
      <c r="K101" s="227">
        <f t="shared" si="32"/>
        <v>164.33</v>
      </c>
      <c r="L101" s="227">
        <f t="shared" si="32"/>
        <v>171.31</v>
      </c>
      <c r="M101" s="227">
        <f t="shared" si="32"/>
        <v>0</v>
      </c>
      <c r="N101" s="227">
        <f t="shared" si="32"/>
        <v>0</v>
      </c>
      <c r="O101" s="227">
        <f t="shared" si="32"/>
        <v>160.44999999999999</v>
      </c>
    </row>
    <row r="102" spans="1:15" x14ac:dyDescent="0.2">
      <c r="A102" s="1588">
        <v>33</v>
      </c>
      <c r="B102" s="232" t="s">
        <v>100</v>
      </c>
      <c r="C102" s="221">
        <v>309016</v>
      </c>
      <c r="D102" s="225">
        <f>ROUND((C102*(1+'Løntabel gældende fra'!$D$7%)),0)</f>
        <v>322132</v>
      </c>
      <c r="E102" s="223">
        <v>312375</v>
      </c>
      <c r="F102" s="224">
        <f>ROUND((E102*(1+'Løntabel gældende fra'!$D$7%)),0)</f>
        <v>325634</v>
      </c>
      <c r="G102" s="221">
        <v>314703</v>
      </c>
      <c r="H102" s="225">
        <f>ROUND((G102*(1+'Løntabel gældende fra'!$D$7%)),0)</f>
        <v>328061</v>
      </c>
      <c r="I102" s="223">
        <v>318063</v>
      </c>
      <c r="J102" s="224">
        <f>ROUND((I102*(1+'Løntabel gældende fra'!$D$7%)),0)</f>
        <v>331564</v>
      </c>
      <c r="K102" s="221">
        <v>320390</v>
      </c>
      <c r="L102" s="225">
        <f>ROUND((K102*(1+'Løntabel gældende fra'!$D$7%)),0)</f>
        <v>333989</v>
      </c>
      <c r="M102" s="492"/>
      <c r="N102" s="471">
        <v>301881.8</v>
      </c>
      <c r="O102" s="472">
        <f>ROUND(N102*(1+'Løntabel gældende fra'!$D$7%),2)</f>
        <v>314695.46999999997</v>
      </c>
    </row>
    <row r="103" spans="1:15" x14ac:dyDescent="0.2">
      <c r="A103" s="1589"/>
      <c r="B103" s="475" t="s">
        <v>261</v>
      </c>
      <c r="C103" s="478"/>
      <c r="D103" s="485">
        <f>ROUND(D102/12,2)</f>
        <v>26844.33</v>
      </c>
      <c r="E103" s="482">
        <f>E102/12</f>
        <v>26031.25</v>
      </c>
      <c r="F103" s="467">
        <f>ROUND(F102/12,2)</f>
        <v>27136.17</v>
      </c>
      <c r="G103" s="478">
        <f>G102/12</f>
        <v>26225.25</v>
      </c>
      <c r="H103" s="485">
        <f>ROUND(H102/12,2)</f>
        <v>27338.42</v>
      </c>
      <c r="I103" s="482">
        <f>I102/12</f>
        <v>26505.25</v>
      </c>
      <c r="J103" s="467">
        <f>ROUND(J102/12,2)</f>
        <v>27630.33</v>
      </c>
      <c r="K103" s="478">
        <f>K102/12</f>
        <v>26699.166666666668</v>
      </c>
      <c r="L103" s="485">
        <f>ROUND(L102/12,2)</f>
        <v>27832.42</v>
      </c>
      <c r="M103" s="490"/>
      <c r="N103" s="468"/>
      <c r="O103" s="470">
        <f>ROUND(O102/12,2)</f>
        <v>26224.62</v>
      </c>
    </row>
    <row r="104" spans="1:15" ht="16" thickBot="1" x14ac:dyDescent="0.25">
      <c r="A104" s="1592"/>
      <c r="B104" s="477" t="s">
        <v>251</v>
      </c>
      <c r="C104" s="481">
        <f>C102/12</f>
        <v>25751.333333333332</v>
      </c>
      <c r="D104" s="227">
        <f>ROUND(D103/160.33,2)</f>
        <v>167.43</v>
      </c>
      <c r="E104" s="484"/>
      <c r="F104" s="227">
        <f t="shared" ref="F104:O104" si="33">ROUND(F103/160.33,2)</f>
        <v>169.25</v>
      </c>
      <c r="G104" s="227">
        <f t="shared" si="33"/>
        <v>163.57</v>
      </c>
      <c r="H104" s="227">
        <f t="shared" si="33"/>
        <v>170.51</v>
      </c>
      <c r="I104" s="227">
        <f t="shared" si="33"/>
        <v>165.32</v>
      </c>
      <c r="J104" s="227">
        <f t="shared" si="33"/>
        <v>172.33</v>
      </c>
      <c r="K104" s="227">
        <f t="shared" si="33"/>
        <v>166.53</v>
      </c>
      <c r="L104" s="227">
        <f t="shared" si="33"/>
        <v>173.59</v>
      </c>
      <c r="M104" s="227">
        <f t="shared" si="33"/>
        <v>0</v>
      </c>
      <c r="N104" s="227">
        <f t="shared" si="33"/>
        <v>0</v>
      </c>
      <c r="O104" s="227">
        <f t="shared" si="33"/>
        <v>163.57</v>
      </c>
    </row>
    <row r="105" spans="1:15" x14ac:dyDescent="0.2">
      <c r="A105" s="1591">
        <v>34</v>
      </c>
      <c r="B105" s="233" t="s">
        <v>100</v>
      </c>
      <c r="C105" s="229">
        <v>314298</v>
      </c>
      <c r="D105" s="222">
        <f>ROUND((C105*(1+'Løntabel gældende fra'!$D$7%)),0)</f>
        <v>327639</v>
      </c>
      <c r="E105" s="230">
        <v>317363</v>
      </c>
      <c r="F105" s="231">
        <f>ROUND((E105*(1+'Løntabel gældende fra'!$D$7%)),0)</f>
        <v>330834</v>
      </c>
      <c r="G105" s="229">
        <v>319485</v>
      </c>
      <c r="H105" s="222">
        <f>ROUND((G105*(1+'Løntabel gældende fra'!$D$7%)),0)</f>
        <v>333046</v>
      </c>
      <c r="I105" s="230">
        <v>322548</v>
      </c>
      <c r="J105" s="231">
        <f>ROUND((I105*(1+'Løntabel gældende fra'!$D$7%)),0)</f>
        <v>336239</v>
      </c>
      <c r="K105" s="229">
        <v>324670</v>
      </c>
      <c r="L105" s="222">
        <f>ROUND((K105*(1+'Løntabel gældende fra'!$D$7%)),0)</f>
        <v>338451</v>
      </c>
      <c r="M105" s="491"/>
      <c r="N105" s="469">
        <v>307790.62</v>
      </c>
      <c r="O105" s="236">
        <f>ROUND(N105*(1+'Løntabel gældende fra'!$D$7%),2)</f>
        <v>320855.09999999998</v>
      </c>
    </row>
    <row r="106" spans="1:15" x14ac:dyDescent="0.2">
      <c r="A106" s="1589"/>
      <c r="B106" s="475" t="s">
        <v>261</v>
      </c>
      <c r="C106" s="478"/>
      <c r="D106" s="485">
        <f>ROUND(D105/12,2)</f>
        <v>27303.25</v>
      </c>
      <c r="E106" s="482">
        <f>E105/12</f>
        <v>26446.916666666668</v>
      </c>
      <c r="F106" s="467">
        <f>ROUND(F105/12,2)</f>
        <v>27569.5</v>
      </c>
      <c r="G106" s="478">
        <f>G105/12</f>
        <v>26623.75</v>
      </c>
      <c r="H106" s="485">
        <f>ROUND(H105/12,2)</f>
        <v>27753.83</v>
      </c>
      <c r="I106" s="482">
        <f>I105/12</f>
        <v>26879</v>
      </c>
      <c r="J106" s="467">
        <f>ROUND(J105/12,2)</f>
        <v>28019.919999999998</v>
      </c>
      <c r="K106" s="478">
        <f>K105/12</f>
        <v>27055.833333333332</v>
      </c>
      <c r="L106" s="485">
        <f>ROUND(L105/12,2)</f>
        <v>28204.25</v>
      </c>
      <c r="M106" s="490"/>
      <c r="N106" s="468"/>
      <c r="O106" s="470">
        <f>ROUND(O105/12,2)</f>
        <v>26737.93</v>
      </c>
    </row>
    <row r="107" spans="1:15" ht="16" thickBot="1" x14ac:dyDescent="0.25">
      <c r="A107" s="1590"/>
      <c r="B107" s="476" t="s">
        <v>251</v>
      </c>
      <c r="C107" s="226">
        <f>C105/12</f>
        <v>26191.5</v>
      </c>
      <c r="D107" s="227">
        <f>ROUND(D106/160.33,2)</f>
        <v>170.29</v>
      </c>
      <c r="E107" s="483"/>
      <c r="F107" s="227">
        <f t="shared" ref="F107:O107" si="34">ROUND(F106/160.33,2)</f>
        <v>171.95</v>
      </c>
      <c r="G107" s="227">
        <f t="shared" si="34"/>
        <v>166.06</v>
      </c>
      <c r="H107" s="227">
        <f t="shared" si="34"/>
        <v>173.1</v>
      </c>
      <c r="I107" s="227">
        <f t="shared" si="34"/>
        <v>167.65</v>
      </c>
      <c r="J107" s="227">
        <f t="shared" si="34"/>
        <v>174.76</v>
      </c>
      <c r="K107" s="227">
        <f t="shared" si="34"/>
        <v>168.75</v>
      </c>
      <c r="L107" s="227">
        <f t="shared" si="34"/>
        <v>175.91</v>
      </c>
      <c r="M107" s="227">
        <f t="shared" si="34"/>
        <v>0</v>
      </c>
      <c r="N107" s="227">
        <f t="shared" si="34"/>
        <v>0</v>
      </c>
      <c r="O107" s="227">
        <f t="shared" si="34"/>
        <v>166.77</v>
      </c>
    </row>
    <row r="108" spans="1:15" x14ac:dyDescent="0.2">
      <c r="A108" s="1588">
        <v>35</v>
      </c>
      <c r="B108" s="232" t="s">
        <v>100</v>
      </c>
      <c r="C108" s="221">
        <v>319697</v>
      </c>
      <c r="D108" s="225">
        <f>ROUND((C108*(1+'Løntabel gældende fra'!$D$7%)),0)</f>
        <v>333267</v>
      </c>
      <c r="E108" s="223">
        <v>322450</v>
      </c>
      <c r="F108" s="224">
        <f>ROUND((E108*(1+'Løntabel gældende fra'!$D$7%)),0)</f>
        <v>336137</v>
      </c>
      <c r="G108" s="221">
        <v>324354</v>
      </c>
      <c r="H108" s="225">
        <f>ROUND((G108*(1+'Løntabel gældende fra'!$D$7%)),0)</f>
        <v>338122</v>
      </c>
      <c r="I108" s="223">
        <v>327107</v>
      </c>
      <c r="J108" s="224">
        <f>ROUND((I108*(1+'Løntabel gældende fra'!$D$7%)),0)</f>
        <v>340991</v>
      </c>
      <c r="K108" s="221">
        <v>329011</v>
      </c>
      <c r="L108" s="225">
        <f>ROUND((K108*(1+'Løntabel gældende fra'!$D$7%)),0)</f>
        <v>342976</v>
      </c>
      <c r="M108" s="492"/>
      <c r="N108" s="471">
        <v>313854.56</v>
      </c>
      <c r="O108" s="472">
        <f>ROUND(N108*(1+'Løntabel gældende fra'!$D$7%),2)</f>
        <v>327176.43</v>
      </c>
    </row>
    <row r="109" spans="1:15" x14ac:dyDescent="0.2">
      <c r="A109" s="1589"/>
      <c r="B109" s="475" t="s">
        <v>261</v>
      </c>
      <c r="C109" s="478"/>
      <c r="D109" s="485">
        <f>ROUND(D108/12,2)</f>
        <v>27772.25</v>
      </c>
      <c r="E109" s="482">
        <f>E108/12</f>
        <v>26870.833333333332</v>
      </c>
      <c r="F109" s="467">
        <f>ROUND(F108/12,2)</f>
        <v>28011.42</v>
      </c>
      <c r="G109" s="478">
        <f>G108/12</f>
        <v>27029.5</v>
      </c>
      <c r="H109" s="485">
        <f>ROUND(H108/12,2)</f>
        <v>28176.83</v>
      </c>
      <c r="I109" s="482">
        <f>I108/12</f>
        <v>27258.916666666668</v>
      </c>
      <c r="J109" s="467">
        <f>ROUND(J108/12,2)</f>
        <v>28415.919999999998</v>
      </c>
      <c r="K109" s="478">
        <f>K108/12</f>
        <v>27417.583333333332</v>
      </c>
      <c r="L109" s="485">
        <f>ROUND(L108/12,2)</f>
        <v>28581.33</v>
      </c>
      <c r="M109" s="490"/>
      <c r="N109" s="468"/>
      <c r="O109" s="470">
        <f>ROUND(O108/12,2)</f>
        <v>27264.7</v>
      </c>
    </row>
    <row r="110" spans="1:15" ht="16" thickBot="1" x14ac:dyDescent="0.25">
      <c r="A110" s="1592"/>
      <c r="B110" s="477" t="s">
        <v>251</v>
      </c>
      <c r="C110" s="481">
        <f>C108/12</f>
        <v>26641.416666666668</v>
      </c>
      <c r="D110" s="227">
        <f>ROUND(D109/160.33,2)</f>
        <v>173.22</v>
      </c>
      <c r="E110" s="484"/>
      <c r="F110" s="227">
        <f t="shared" ref="F110:O110" si="35">ROUND(F109/160.33,2)</f>
        <v>174.71</v>
      </c>
      <c r="G110" s="227">
        <f t="shared" si="35"/>
        <v>168.59</v>
      </c>
      <c r="H110" s="227">
        <f t="shared" si="35"/>
        <v>175.74</v>
      </c>
      <c r="I110" s="227">
        <f t="shared" si="35"/>
        <v>170.02</v>
      </c>
      <c r="J110" s="227">
        <f t="shared" si="35"/>
        <v>177.23</v>
      </c>
      <c r="K110" s="227">
        <f t="shared" si="35"/>
        <v>171.01</v>
      </c>
      <c r="L110" s="227">
        <f t="shared" si="35"/>
        <v>178.27</v>
      </c>
      <c r="M110" s="227">
        <f t="shared" si="35"/>
        <v>0</v>
      </c>
      <c r="N110" s="227">
        <f t="shared" si="35"/>
        <v>0</v>
      </c>
      <c r="O110" s="227">
        <f t="shared" si="35"/>
        <v>170.05</v>
      </c>
    </row>
    <row r="111" spans="1:15" x14ac:dyDescent="0.2">
      <c r="A111" s="1591">
        <v>36</v>
      </c>
      <c r="B111" s="233" t="s">
        <v>100</v>
      </c>
      <c r="C111" s="229">
        <v>325214</v>
      </c>
      <c r="D111" s="222">
        <f>ROUND((C111*(1+'Løntabel gældende fra'!$D$7%)),0)</f>
        <v>339018</v>
      </c>
      <c r="E111" s="230">
        <v>327634</v>
      </c>
      <c r="F111" s="231">
        <f>ROUND((E111*(1+'Løntabel gældende fra'!$D$7%)),0)</f>
        <v>341541</v>
      </c>
      <c r="G111" s="229">
        <v>329310</v>
      </c>
      <c r="H111" s="222">
        <f>ROUND((G111*(1+'Løntabel gældende fra'!$D$7%)),0)</f>
        <v>343288</v>
      </c>
      <c r="I111" s="230">
        <v>331731</v>
      </c>
      <c r="J111" s="231">
        <f>ROUND((I111*(1+'Løntabel gældende fra'!$D$7%)),0)</f>
        <v>345812</v>
      </c>
      <c r="K111" s="229">
        <v>333406</v>
      </c>
      <c r="L111" s="222">
        <f>ROUND((K111*(1+'Løntabel gældende fra'!$D$7%)),0)</f>
        <v>347558</v>
      </c>
      <c r="M111" s="491"/>
      <c r="N111" s="469">
        <v>320074.68</v>
      </c>
      <c r="O111" s="236">
        <f>ROUND(N111*(1+'Løntabel gældende fra'!$D$7%),2)</f>
        <v>333660.57</v>
      </c>
    </row>
    <row r="112" spans="1:15" x14ac:dyDescent="0.2">
      <c r="A112" s="1589"/>
      <c r="B112" s="475" t="s">
        <v>261</v>
      </c>
      <c r="C112" s="478"/>
      <c r="D112" s="485">
        <f>ROUND(D111/12,2)</f>
        <v>28251.5</v>
      </c>
      <c r="E112" s="482">
        <f>E111/12</f>
        <v>27302.833333333332</v>
      </c>
      <c r="F112" s="467">
        <f>ROUND(F111/12,2)</f>
        <v>28461.75</v>
      </c>
      <c r="G112" s="478">
        <f>G111/12</f>
        <v>27442.5</v>
      </c>
      <c r="H112" s="485">
        <f>ROUND(H111/12,2)</f>
        <v>28607.33</v>
      </c>
      <c r="I112" s="482">
        <f>I111/12</f>
        <v>27644.25</v>
      </c>
      <c r="J112" s="467">
        <f>ROUND(J111/12,2)</f>
        <v>28817.67</v>
      </c>
      <c r="K112" s="478">
        <f>K111/12</f>
        <v>27783.833333333332</v>
      </c>
      <c r="L112" s="485">
        <f>ROUND(L111/12,2)</f>
        <v>28963.17</v>
      </c>
      <c r="M112" s="490"/>
      <c r="N112" s="468"/>
      <c r="O112" s="470">
        <f>ROUND(O111/12,2)</f>
        <v>27805.05</v>
      </c>
    </row>
    <row r="113" spans="1:15" ht="16" thickBot="1" x14ac:dyDescent="0.25">
      <c r="A113" s="1590"/>
      <c r="B113" s="476" t="s">
        <v>251</v>
      </c>
      <c r="C113" s="226">
        <f>C111/12</f>
        <v>27101.166666666668</v>
      </c>
      <c r="D113" s="227">
        <f>ROUND(D112/160.33,2)</f>
        <v>176.21</v>
      </c>
      <c r="E113" s="483"/>
      <c r="F113" s="227">
        <f t="shared" ref="F113:O113" si="36">ROUND(F112/160.33,2)</f>
        <v>177.52</v>
      </c>
      <c r="G113" s="227">
        <f t="shared" si="36"/>
        <v>171.16</v>
      </c>
      <c r="H113" s="227">
        <f t="shared" si="36"/>
        <v>178.43</v>
      </c>
      <c r="I113" s="227">
        <f t="shared" si="36"/>
        <v>172.42</v>
      </c>
      <c r="J113" s="227">
        <f t="shared" si="36"/>
        <v>179.74</v>
      </c>
      <c r="K113" s="227">
        <f t="shared" si="36"/>
        <v>173.29</v>
      </c>
      <c r="L113" s="227">
        <f t="shared" si="36"/>
        <v>180.65</v>
      </c>
      <c r="M113" s="227">
        <f t="shared" si="36"/>
        <v>0</v>
      </c>
      <c r="N113" s="227">
        <f t="shared" si="36"/>
        <v>0</v>
      </c>
      <c r="O113" s="227">
        <f t="shared" si="36"/>
        <v>173.42</v>
      </c>
    </row>
    <row r="114" spans="1:15" x14ac:dyDescent="0.2">
      <c r="A114" s="1588">
        <v>37</v>
      </c>
      <c r="B114" s="232" t="s">
        <v>100</v>
      </c>
      <c r="C114" s="221">
        <v>330853</v>
      </c>
      <c r="D114" s="225">
        <f>ROUND((C114*(1+'Løntabel gældende fra'!$D$7%)),0)</f>
        <v>344896</v>
      </c>
      <c r="E114" s="223">
        <v>332923</v>
      </c>
      <c r="F114" s="224">
        <f>ROUND((E114*(1+'Løntabel gældende fra'!$D$7%)),0)</f>
        <v>347054</v>
      </c>
      <c r="G114" s="221">
        <v>334355</v>
      </c>
      <c r="H114" s="225">
        <f>ROUND((G114*(1+'Løntabel gældende fra'!$D$7%)),0)</f>
        <v>348547</v>
      </c>
      <c r="I114" s="223">
        <v>336425</v>
      </c>
      <c r="J114" s="224">
        <f>ROUND((I114*(1+'Løntabel gældende fra'!$D$7%)),0)</f>
        <v>350705</v>
      </c>
      <c r="K114" s="221">
        <v>337859</v>
      </c>
      <c r="L114" s="225">
        <f>ROUND((K114*(1+'Løntabel gældende fra'!$D$7%)),0)</f>
        <v>352200</v>
      </c>
      <c r="M114" s="492"/>
      <c r="N114" s="471">
        <v>326457.34000000003</v>
      </c>
      <c r="O114" s="472">
        <f>ROUND(N114*(1+'Løntabel gældende fra'!$D$7%),2)</f>
        <v>340314.15</v>
      </c>
    </row>
    <row r="115" spans="1:15" x14ac:dyDescent="0.2">
      <c r="A115" s="1589"/>
      <c r="B115" s="475" t="s">
        <v>261</v>
      </c>
      <c r="C115" s="478"/>
      <c r="D115" s="485">
        <f>ROUND(D114/12,2)</f>
        <v>28741.33</v>
      </c>
      <c r="E115" s="482">
        <f>E114/12</f>
        <v>27743.583333333332</v>
      </c>
      <c r="F115" s="467">
        <f>ROUND(F114/12,2)</f>
        <v>28921.17</v>
      </c>
      <c r="G115" s="478">
        <f>G114/12</f>
        <v>27862.916666666668</v>
      </c>
      <c r="H115" s="485">
        <f>ROUND(H114/12,2)</f>
        <v>29045.58</v>
      </c>
      <c r="I115" s="482">
        <f>I114/12</f>
        <v>28035.416666666668</v>
      </c>
      <c r="J115" s="467">
        <f>ROUND(J114/12,2)</f>
        <v>29225.42</v>
      </c>
      <c r="K115" s="478">
        <f>K114/12</f>
        <v>28154.916666666668</v>
      </c>
      <c r="L115" s="485">
        <f>ROUND(L114/12,2)</f>
        <v>29350</v>
      </c>
      <c r="M115" s="490"/>
      <c r="N115" s="468"/>
      <c r="O115" s="470">
        <f>ROUND(O114/12,2)</f>
        <v>28359.51</v>
      </c>
    </row>
    <row r="116" spans="1:15" ht="16" thickBot="1" x14ac:dyDescent="0.25">
      <c r="A116" s="1592"/>
      <c r="B116" s="477" t="s">
        <v>251</v>
      </c>
      <c r="C116" s="481">
        <f>C114/12</f>
        <v>27571.083333333332</v>
      </c>
      <c r="D116" s="227">
        <f>ROUND(D115/160.33,2)</f>
        <v>179.26</v>
      </c>
      <c r="E116" s="484"/>
      <c r="F116" s="227">
        <f t="shared" ref="F116:O116" si="37">ROUND(F115/160.33,2)</f>
        <v>180.39</v>
      </c>
      <c r="G116" s="227">
        <f t="shared" si="37"/>
        <v>173.78</v>
      </c>
      <c r="H116" s="227">
        <f t="shared" si="37"/>
        <v>181.16</v>
      </c>
      <c r="I116" s="227">
        <f t="shared" si="37"/>
        <v>174.86</v>
      </c>
      <c r="J116" s="227">
        <f t="shared" si="37"/>
        <v>182.28</v>
      </c>
      <c r="K116" s="227">
        <f t="shared" si="37"/>
        <v>175.61</v>
      </c>
      <c r="L116" s="227">
        <f t="shared" si="37"/>
        <v>183.06</v>
      </c>
      <c r="M116" s="227">
        <f t="shared" si="37"/>
        <v>0</v>
      </c>
      <c r="N116" s="227">
        <f t="shared" si="37"/>
        <v>0</v>
      </c>
      <c r="O116" s="227">
        <f t="shared" si="37"/>
        <v>176.88</v>
      </c>
    </row>
    <row r="117" spans="1:15" x14ac:dyDescent="0.2">
      <c r="A117" s="1591">
        <v>38</v>
      </c>
      <c r="B117" s="233" t="s">
        <v>100</v>
      </c>
      <c r="C117" s="229">
        <v>336808</v>
      </c>
      <c r="D117" s="222">
        <f>ROUND((C117*(1+'Løntabel gældende fra'!$D$7%)),0)</f>
        <v>351104</v>
      </c>
      <c r="E117" s="230">
        <v>338540</v>
      </c>
      <c r="F117" s="231">
        <f>ROUND((E117*(1+'Løntabel gældende fra'!$D$7%)),0)</f>
        <v>352910</v>
      </c>
      <c r="G117" s="229">
        <v>339739</v>
      </c>
      <c r="H117" s="222">
        <f>ROUND((G117*(1+'Løntabel gældende fra'!$D$7%)),0)</f>
        <v>354160</v>
      </c>
      <c r="I117" s="230">
        <v>341471</v>
      </c>
      <c r="J117" s="231">
        <f>ROUND((I117*(1+'Løntabel gældende fra'!$D$7%)),0)</f>
        <v>355965</v>
      </c>
      <c r="K117" s="229">
        <v>342672</v>
      </c>
      <c r="L117" s="222">
        <f>ROUND((K117*(1+'Løntabel gældende fra'!$D$7%)),0)</f>
        <v>357217</v>
      </c>
      <c r="M117" s="491"/>
      <c r="N117" s="469">
        <v>333128.88</v>
      </c>
      <c r="O117" s="236">
        <f>ROUND(N117*(1+'Løntabel gældende fra'!$D$7%),2)</f>
        <v>347268.87</v>
      </c>
    </row>
    <row r="118" spans="1:15" x14ac:dyDescent="0.2">
      <c r="A118" s="1589"/>
      <c r="B118" s="475" t="s">
        <v>261</v>
      </c>
      <c r="C118" s="478"/>
      <c r="D118" s="485">
        <f>ROUND(D117/12,2)</f>
        <v>29258.67</v>
      </c>
      <c r="E118" s="482">
        <f>E117/12</f>
        <v>28211.666666666668</v>
      </c>
      <c r="F118" s="467">
        <f>ROUND(F117/12,2)</f>
        <v>29409.17</v>
      </c>
      <c r="G118" s="478">
        <f>G117/12</f>
        <v>28311.583333333332</v>
      </c>
      <c r="H118" s="485">
        <f>ROUND(H117/12,2)</f>
        <v>29513.33</v>
      </c>
      <c r="I118" s="482">
        <f>I117/12</f>
        <v>28455.916666666668</v>
      </c>
      <c r="J118" s="467">
        <f>ROUND(J117/12,2)</f>
        <v>29663.75</v>
      </c>
      <c r="K118" s="478">
        <f>K117/12</f>
        <v>28556</v>
      </c>
      <c r="L118" s="485">
        <f>ROUND(L117/12,2)</f>
        <v>29768.080000000002</v>
      </c>
      <c r="M118" s="490"/>
      <c r="N118" s="468"/>
      <c r="O118" s="470">
        <f>ROUND(O117/12,2)</f>
        <v>28939.07</v>
      </c>
    </row>
    <row r="119" spans="1:15" ht="16" thickBot="1" x14ac:dyDescent="0.25">
      <c r="A119" s="1590"/>
      <c r="B119" s="476" t="s">
        <v>251</v>
      </c>
      <c r="C119" s="226">
        <f>C117/12</f>
        <v>28067.333333333332</v>
      </c>
      <c r="D119" s="227">
        <f>ROUND(D118/160.33,2)</f>
        <v>182.49</v>
      </c>
      <c r="E119" s="483"/>
      <c r="F119" s="227">
        <f t="shared" ref="F119:O119" si="38">ROUND(F118/160.33,2)</f>
        <v>183.43</v>
      </c>
      <c r="G119" s="227">
        <f t="shared" si="38"/>
        <v>176.58</v>
      </c>
      <c r="H119" s="227">
        <f t="shared" si="38"/>
        <v>184.08</v>
      </c>
      <c r="I119" s="227">
        <f t="shared" si="38"/>
        <v>177.48</v>
      </c>
      <c r="J119" s="227">
        <f t="shared" si="38"/>
        <v>185.02</v>
      </c>
      <c r="K119" s="227">
        <f t="shared" si="38"/>
        <v>178.11</v>
      </c>
      <c r="L119" s="227">
        <f t="shared" si="38"/>
        <v>185.67</v>
      </c>
      <c r="M119" s="227">
        <f t="shared" si="38"/>
        <v>0</v>
      </c>
      <c r="N119" s="227">
        <f t="shared" si="38"/>
        <v>0</v>
      </c>
      <c r="O119" s="227">
        <f t="shared" si="38"/>
        <v>180.5</v>
      </c>
    </row>
    <row r="120" spans="1:15" x14ac:dyDescent="0.2">
      <c r="A120" s="1588">
        <v>39</v>
      </c>
      <c r="B120" s="232" t="s">
        <v>100</v>
      </c>
      <c r="C120" s="221">
        <v>342821</v>
      </c>
      <c r="D120" s="225">
        <f>ROUND((C120*(1+'Løntabel gældende fra'!$D$7%)),0)</f>
        <v>357372</v>
      </c>
      <c r="E120" s="223">
        <v>344156</v>
      </c>
      <c r="F120" s="224">
        <f>ROUND((E120*(1+'Løntabel gældende fra'!$D$7%)),0)</f>
        <v>358764</v>
      </c>
      <c r="G120" s="221">
        <v>345080</v>
      </c>
      <c r="H120" s="225">
        <f>ROUND((G120*(1+'Løntabel gældende fra'!$D$7%)),0)</f>
        <v>359727</v>
      </c>
      <c r="I120" s="223">
        <v>346413</v>
      </c>
      <c r="J120" s="224">
        <f>ROUND((I120*(1+'Løntabel gældende fra'!$D$7%)),0)</f>
        <v>361117</v>
      </c>
      <c r="K120" s="221">
        <v>347337</v>
      </c>
      <c r="L120" s="225">
        <f>ROUND((K120*(1+'Løntabel gældende fra'!$D$7%)),0)</f>
        <v>362080</v>
      </c>
      <c r="M120" s="492"/>
      <c r="N120" s="471">
        <v>339989.41</v>
      </c>
      <c r="O120" s="472">
        <f>ROUND(N120*(1+'Løntabel gældende fra'!$D$7%),2)</f>
        <v>354420.6</v>
      </c>
    </row>
    <row r="121" spans="1:15" x14ac:dyDescent="0.2">
      <c r="A121" s="1589"/>
      <c r="B121" s="475" t="s">
        <v>261</v>
      </c>
      <c r="C121" s="478"/>
      <c r="D121" s="485">
        <f>ROUND(D120/12,2)</f>
        <v>29781</v>
      </c>
      <c r="E121" s="482">
        <f>E120/12</f>
        <v>28679.666666666668</v>
      </c>
      <c r="F121" s="467">
        <f>ROUND(F120/12,2)</f>
        <v>29897</v>
      </c>
      <c r="G121" s="478">
        <f>G120/12</f>
        <v>28756.666666666668</v>
      </c>
      <c r="H121" s="485">
        <f>ROUND(H120/12,2)</f>
        <v>29977.25</v>
      </c>
      <c r="I121" s="482">
        <f>I120/12</f>
        <v>28867.75</v>
      </c>
      <c r="J121" s="467">
        <f>ROUND(J120/12,2)</f>
        <v>30093.08</v>
      </c>
      <c r="K121" s="478">
        <f>K120/12</f>
        <v>28944.75</v>
      </c>
      <c r="L121" s="485">
        <f>ROUND(L120/12,2)</f>
        <v>30173.33</v>
      </c>
      <c r="M121" s="490"/>
      <c r="N121" s="468"/>
      <c r="O121" s="470">
        <f>ROUND(O120/12,2)</f>
        <v>29535.05</v>
      </c>
    </row>
    <row r="122" spans="1:15" ht="16" thickBot="1" x14ac:dyDescent="0.25">
      <c r="A122" s="1592"/>
      <c r="B122" s="477" t="s">
        <v>251</v>
      </c>
      <c r="C122" s="481">
        <f>C120/12</f>
        <v>28568.416666666668</v>
      </c>
      <c r="D122" s="227">
        <f>ROUND(D121/160.33,2)</f>
        <v>185.75</v>
      </c>
      <c r="E122" s="484"/>
      <c r="F122" s="227">
        <f t="shared" ref="F122:O122" si="39">ROUND(F121/160.33,2)</f>
        <v>186.47</v>
      </c>
      <c r="G122" s="227">
        <f t="shared" si="39"/>
        <v>179.36</v>
      </c>
      <c r="H122" s="227">
        <f t="shared" si="39"/>
        <v>186.97</v>
      </c>
      <c r="I122" s="227">
        <f t="shared" si="39"/>
        <v>180.05</v>
      </c>
      <c r="J122" s="227">
        <f t="shared" si="39"/>
        <v>187.69</v>
      </c>
      <c r="K122" s="227">
        <f t="shared" si="39"/>
        <v>180.53</v>
      </c>
      <c r="L122" s="227">
        <f t="shared" si="39"/>
        <v>188.2</v>
      </c>
      <c r="M122" s="227">
        <f t="shared" si="39"/>
        <v>0</v>
      </c>
      <c r="N122" s="227">
        <f t="shared" si="39"/>
        <v>0</v>
      </c>
      <c r="O122" s="227">
        <f t="shared" si="39"/>
        <v>184.21</v>
      </c>
    </row>
    <row r="123" spans="1:15" x14ac:dyDescent="0.2">
      <c r="A123" s="1591">
        <v>40</v>
      </c>
      <c r="B123" s="233" t="s">
        <v>100</v>
      </c>
      <c r="C123" s="229">
        <v>348966</v>
      </c>
      <c r="D123" s="222">
        <f>ROUND((C123*(1+'Løntabel gældende fra'!$D$7%)),0)</f>
        <v>363778</v>
      </c>
      <c r="E123" s="230">
        <v>349878</v>
      </c>
      <c r="F123" s="231">
        <f>ROUND((E123*(1+'Løntabel gældende fra'!$D$7%)),0)</f>
        <v>364729</v>
      </c>
      <c r="G123" s="229">
        <v>350510</v>
      </c>
      <c r="H123" s="222">
        <f>ROUND((G123*(1+'Løntabel gældende fra'!$D$7%)),0)</f>
        <v>365388</v>
      </c>
      <c r="I123" s="230">
        <v>351422</v>
      </c>
      <c r="J123" s="231">
        <f>ROUND((I123*(1+'Løntabel gældende fra'!$D$7%)),0)</f>
        <v>366338</v>
      </c>
      <c r="K123" s="229">
        <v>352054</v>
      </c>
      <c r="L123" s="222">
        <f>ROUND((K123*(1+'Løntabel gældende fra'!$D$7%)),0)</f>
        <v>366997</v>
      </c>
      <c r="M123" s="491"/>
      <c r="N123" s="469">
        <v>347027.46</v>
      </c>
      <c r="O123" s="236">
        <f>ROUND(N123*(1+'Løntabel gældende fra'!$D$7%),2)</f>
        <v>361757.39</v>
      </c>
    </row>
    <row r="124" spans="1:15" x14ac:dyDescent="0.2">
      <c r="A124" s="1589"/>
      <c r="B124" s="475" t="s">
        <v>261</v>
      </c>
      <c r="C124" s="478"/>
      <c r="D124" s="485">
        <f>ROUND(D123/12,2)</f>
        <v>30314.83</v>
      </c>
      <c r="E124" s="482">
        <f>E123/12</f>
        <v>29156.5</v>
      </c>
      <c r="F124" s="467">
        <f>ROUND(F123/12,2)</f>
        <v>30394.080000000002</v>
      </c>
      <c r="G124" s="478">
        <f>G123/12</f>
        <v>29209.166666666668</v>
      </c>
      <c r="H124" s="485">
        <f>ROUND(H123/12,2)</f>
        <v>30449</v>
      </c>
      <c r="I124" s="482">
        <f>I123/12</f>
        <v>29285.166666666668</v>
      </c>
      <c r="J124" s="467">
        <f>ROUND(J123/12,2)</f>
        <v>30528.17</v>
      </c>
      <c r="K124" s="478">
        <f>K123/12</f>
        <v>29337.833333333332</v>
      </c>
      <c r="L124" s="485">
        <f>ROUND(L123/12,2)</f>
        <v>30583.08</v>
      </c>
      <c r="M124" s="490"/>
      <c r="N124" s="468"/>
      <c r="O124" s="470">
        <f>ROUND(O123/12,2)</f>
        <v>30146.45</v>
      </c>
    </row>
    <row r="125" spans="1:15" ht="16" thickBot="1" x14ac:dyDescent="0.25">
      <c r="A125" s="1590"/>
      <c r="B125" s="476" t="s">
        <v>251</v>
      </c>
      <c r="C125" s="226">
        <f>C123/12</f>
        <v>29080.5</v>
      </c>
      <c r="D125" s="227">
        <f>ROUND(D124/160.33,2)</f>
        <v>189.08</v>
      </c>
      <c r="E125" s="483"/>
      <c r="F125" s="227">
        <f t="shared" ref="F125:O125" si="40">ROUND(F124/160.33,2)</f>
        <v>189.57</v>
      </c>
      <c r="G125" s="227">
        <f t="shared" si="40"/>
        <v>182.18</v>
      </c>
      <c r="H125" s="227">
        <f t="shared" si="40"/>
        <v>189.91</v>
      </c>
      <c r="I125" s="227">
        <f t="shared" si="40"/>
        <v>182.66</v>
      </c>
      <c r="J125" s="227">
        <f t="shared" si="40"/>
        <v>190.41</v>
      </c>
      <c r="K125" s="227">
        <f t="shared" si="40"/>
        <v>182.98</v>
      </c>
      <c r="L125" s="227">
        <f t="shared" si="40"/>
        <v>190.75</v>
      </c>
      <c r="M125" s="227">
        <f t="shared" si="40"/>
        <v>0</v>
      </c>
      <c r="N125" s="227">
        <f t="shared" si="40"/>
        <v>0</v>
      </c>
      <c r="O125" s="227">
        <f t="shared" si="40"/>
        <v>188.03</v>
      </c>
    </row>
    <row r="126" spans="1:15" x14ac:dyDescent="0.2">
      <c r="A126" s="1588">
        <v>41</v>
      </c>
      <c r="B126" s="232" t="s">
        <v>100</v>
      </c>
      <c r="C126" s="221">
        <v>355245</v>
      </c>
      <c r="D126" s="225">
        <f>ROUND((C126*(1+'Løntabel gældende fra'!$D$7%)),0)</f>
        <v>370324</v>
      </c>
      <c r="E126" s="223">
        <v>355712</v>
      </c>
      <c r="F126" s="224">
        <f>ROUND((E126*(1+'Løntabel gældende fra'!$D$7%)),0)</f>
        <v>370811</v>
      </c>
      <c r="G126" s="221">
        <v>356037</v>
      </c>
      <c r="H126" s="225">
        <f>ROUND((G126*(1+'Løntabel gældende fra'!$D$7%)),0)</f>
        <v>371149</v>
      </c>
      <c r="I126" s="223">
        <v>356505</v>
      </c>
      <c r="J126" s="224">
        <f>ROUND((I126*(1+'Løntabel gældende fra'!$D$7%)),0)</f>
        <v>371637</v>
      </c>
      <c r="K126" s="221">
        <v>356828</v>
      </c>
      <c r="L126" s="225">
        <f>ROUND((K126*(1+'Løntabel gældende fra'!$D$7%)),0)</f>
        <v>371974</v>
      </c>
      <c r="M126" s="492"/>
      <c r="N126" s="471">
        <v>354249.23</v>
      </c>
      <c r="O126" s="472">
        <f>ROUND(N126*(1+'Løntabel gældende fra'!$D$7%),2)</f>
        <v>369285.69</v>
      </c>
    </row>
    <row r="127" spans="1:15" x14ac:dyDescent="0.2">
      <c r="A127" s="1589"/>
      <c r="B127" s="475" t="s">
        <v>261</v>
      </c>
      <c r="C127" s="478"/>
      <c r="D127" s="485">
        <f>ROUND(D126/12,2)</f>
        <v>30860.33</v>
      </c>
      <c r="E127" s="482">
        <f>E126/12</f>
        <v>29642.666666666668</v>
      </c>
      <c r="F127" s="467">
        <f>ROUND(F126/12,2)</f>
        <v>30900.92</v>
      </c>
      <c r="G127" s="478">
        <f>G126/12</f>
        <v>29669.75</v>
      </c>
      <c r="H127" s="485">
        <f>ROUND(H126/12,2)</f>
        <v>30929.08</v>
      </c>
      <c r="I127" s="482">
        <f>I126/12</f>
        <v>29708.75</v>
      </c>
      <c r="J127" s="467">
        <f>ROUND(J126/12,2)</f>
        <v>30969.75</v>
      </c>
      <c r="K127" s="478">
        <f>K126/12</f>
        <v>29735.666666666668</v>
      </c>
      <c r="L127" s="485">
        <f>ROUND(L126/12,2)</f>
        <v>30997.83</v>
      </c>
      <c r="M127" s="490"/>
      <c r="N127" s="468"/>
      <c r="O127" s="470">
        <f>ROUND(O126/12,2)</f>
        <v>30773.81</v>
      </c>
    </row>
    <row r="128" spans="1:15" ht="16" thickBot="1" x14ac:dyDescent="0.25">
      <c r="A128" s="1592"/>
      <c r="B128" s="477" t="s">
        <v>251</v>
      </c>
      <c r="C128" s="481">
        <f>C126/12</f>
        <v>29603.75</v>
      </c>
      <c r="D128" s="227">
        <f>ROUND(D127/160.33,2)</f>
        <v>192.48</v>
      </c>
      <c r="E128" s="484"/>
      <c r="F128" s="227">
        <f t="shared" ref="F128:O128" si="41">ROUND(F127/160.33,2)</f>
        <v>192.73</v>
      </c>
      <c r="G128" s="227">
        <f t="shared" si="41"/>
        <v>185.05</v>
      </c>
      <c r="H128" s="227">
        <f t="shared" si="41"/>
        <v>192.91</v>
      </c>
      <c r="I128" s="227">
        <f t="shared" si="41"/>
        <v>185.3</v>
      </c>
      <c r="J128" s="227">
        <f t="shared" si="41"/>
        <v>193.16</v>
      </c>
      <c r="K128" s="227">
        <f t="shared" si="41"/>
        <v>185.47</v>
      </c>
      <c r="L128" s="227">
        <f t="shared" si="41"/>
        <v>193.34</v>
      </c>
      <c r="M128" s="227">
        <f t="shared" si="41"/>
        <v>0</v>
      </c>
      <c r="N128" s="227">
        <f t="shared" si="41"/>
        <v>0</v>
      </c>
      <c r="O128" s="227">
        <f t="shared" si="41"/>
        <v>191.94</v>
      </c>
    </row>
    <row r="129" spans="1:15" x14ac:dyDescent="0.2">
      <c r="A129" s="1591">
        <v>42</v>
      </c>
      <c r="B129" s="233" t="s">
        <v>100</v>
      </c>
      <c r="C129" s="229">
        <v>361660</v>
      </c>
      <c r="D129" s="222">
        <f>ROUND((C129*(1+'Løntabel gældende fra'!$D$7%)),0)</f>
        <v>377011</v>
      </c>
      <c r="E129" s="230">
        <v>361660</v>
      </c>
      <c r="F129" s="231">
        <f>ROUND((E129*(1+'Løntabel gældende fra'!$D$7%)),0)</f>
        <v>377011</v>
      </c>
      <c r="G129" s="229">
        <v>361660</v>
      </c>
      <c r="H129" s="222">
        <f>ROUND((G129*(1+'Løntabel gældende fra'!$D$7%)),0)</f>
        <v>377011</v>
      </c>
      <c r="I129" s="230">
        <v>361660</v>
      </c>
      <c r="J129" s="231">
        <f>ROUND((I129*(1+'Løntabel gældende fra'!$D$7%)),0)</f>
        <v>377011</v>
      </c>
      <c r="K129" s="229">
        <v>361660</v>
      </c>
      <c r="L129" s="222">
        <f>ROUND((K129*(1+'Løntabel gældende fra'!$D$7%)),0)</f>
        <v>377011</v>
      </c>
      <c r="M129" s="491"/>
      <c r="N129" s="469">
        <v>361659.2</v>
      </c>
      <c r="O129" s="236">
        <f>ROUND(N129*(1+'Løntabel gældende fra'!$D$7%),2)</f>
        <v>377010.19</v>
      </c>
    </row>
    <row r="130" spans="1:15" x14ac:dyDescent="0.2">
      <c r="A130" s="1589"/>
      <c r="B130" s="475" t="s">
        <v>261</v>
      </c>
      <c r="C130" s="478"/>
      <c r="D130" s="485">
        <f>ROUND(D129/12,2)</f>
        <v>31417.58</v>
      </c>
      <c r="E130" s="482">
        <f>E129/12</f>
        <v>30138.333333333332</v>
      </c>
      <c r="F130" s="467">
        <f>ROUND(F129/12,2)</f>
        <v>31417.58</v>
      </c>
      <c r="G130" s="478">
        <f>G129/12</f>
        <v>30138.333333333332</v>
      </c>
      <c r="H130" s="485">
        <f>ROUND(H129/12,2)</f>
        <v>31417.58</v>
      </c>
      <c r="I130" s="482">
        <f>I129/12</f>
        <v>30138.333333333332</v>
      </c>
      <c r="J130" s="467">
        <f>ROUND(J129/12,2)</f>
        <v>31417.58</v>
      </c>
      <c r="K130" s="478">
        <f>K129/12</f>
        <v>30138.333333333332</v>
      </c>
      <c r="L130" s="485">
        <f>ROUND(L129/12,2)</f>
        <v>31417.58</v>
      </c>
      <c r="M130" s="490"/>
      <c r="N130" s="468"/>
      <c r="O130" s="470">
        <f>ROUND(O129/12,2)</f>
        <v>31417.52</v>
      </c>
    </row>
    <row r="131" spans="1:15" ht="16" thickBot="1" x14ac:dyDescent="0.25">
      <c r="A131" s="1590"/>
      <c r="B131" s="476" t="s">
        <v>251</v>
      </c>
      <c r="C131" s="226">
        <f>C129/12</f>
        <v>30138.333333333332</v>
      </c>
      <c r="D131" s="227">
        <f>ROUND(D130/160.33,2)</f>
        <v>195.96</v>
      </c>
      <c r="E131" s="483"/>
      <c r="F131" s="227">
        <f t="shared" ref="F131:O131" si="42">ROUND(F130/160.33,2)</f>
        <v>195.96</v>
      </c>
      <c r="G131" s="227">
        <f t="shared" si="42"/>
        <v>187.98</v>
      </c>
      <c r="H131" s="227">
        <f t="shared" si="42"/>
        <v>195.96</v>
      </c>
      <c r="I131" s="227">
        <f t="shared" si="42"/>
        <v>187.98</v>
      </c>
      <c r="J131" s="227">
        <f t="shared" si="42"/>
        <v>195.96</v>
      </c>
      <c r="K131" s="227">
        <f t="shared" si="42"/>
        <v>187.98</v>
      </c>
      <c r="L131" s="227">
        <f t="shared" si="42"/>
        <v>195.96</v>
      </c>
      <c r="M131" s="227">
        <f t="shared" si="42"/>
        <v>0</v>
      </c>
      <c r="N131" s="227">
        <f t="shared" si="42"/>
        <v>0</v>
      </c>
      <c r="O131" s="227">
        <f t="shared" si="42"/>
        <v>195.96</v>
      </c>
    </row>
    <row r="132" spans="1:15" x14ac:dyDescent="0.2">
      <c r="A132" s="1588">
        <v>43</v>
      </c>
      <c r="B132" s="232" t="s">
        <v>100</v>
      </c>
      <c r="C132" s="221">
        <v>369689</v>
      </c>
      <c r="D132" s="225">
        <f>ROUND((C132*(1+'Løntabel gældende fra'!$D$7%)),0)</f>
        <v>385381</v>
      </c>
      <c r="E132" s="223">
        <v>369689</v>
      </c>
      <c r="F132" s="224">
        <f>ROUND((E132*(1+'Løntabel gældende fra'!$D$7%)),0)</f>
        <v>385381</v>
      </c>
      <c r="G132" s="221">
        <v>369689</v>
      </c>
      <c r="H132" s="225">
        <f>ROUND((G132*(1+'Løntabel gældende fra'!$D$7%)),0)</f>
        <v>385381</v>
      </c>
      <c r="I132" s="223">
        <v>369689</v>
      </c>
      <c r="J132" s="224">
        <f>ROUND((I132*(1+'Løntabel gældende fra'!$D$7%)),0)</f>
        <v>385381</v>
      </c>
      <c r="K132" s="221">
        <v>369689</v>
      </c>
      <c r="L132" s="225">
        <f>ROUND((K132*(1+'Løntabel gældende fra'!$D$7%)),0)</f>
        <v>385381</v>
      </c>
      <c r="M132" s="492"/>
      <c r="N132" s="471">
        <v>369688.53</v>
      </c>
      <c r="O132" s="472">
        <f>ROUND(N132*(1+'Løntabel gældende fra'!$D$7%),2)</f>
        <v>385380.33</v>
      </c>
    </row>
    <row r="133" spans="1:15" x14ac:dyDescent="0.2">
      <c r="A133" s="1589"/>
      <c r="B133" s="475" t="s">
        <v>261</v>
      </c>
      <c r="C133" s="478"/>
      <c r="D133" s="485">
        <f>ROUND(D132/12,2)</f>
        <v>32115.08</v>
      </c>
      <c r="E133" s="482">
        <f>E132/12</f>
        <v>30807.416666666668</v>
      </c>
      <c r="F133" s="467">
        <f>ROUND(F132/12,2)</f>
        <v>32115.08</v>
      </c>
      <c r="G133" s="478">
        <f>G132/12</f>
        <v>30807.416666666668</v>
      </c>
      <c r="H133" s="485">
        <f>ROUND(H132/12,2)</f>
        <v>32115.08</v>
      </c>
      <c r="I133" s="482">
        <f>I132/12</f>
        <v>30807.416666666668</v>
      </c>
      <c r="J133" s="467">
        <f>ROUND(J132/12,2)</f>
        <v>32115.08</v>
      </c>
      <c r="K133" s="478">
        <f>K132/12</f>
        <v>30807.416666666668</v>
      </c>
      <c r="L133" s="485">
        <f>ROUND(L132/12,2)</f>
        <v>32115.08</v>
      </c>
      <c r="M133" s="490"/>
      <c r="N133" s="468"/>
      <c r="O133" s="470">
        <f>ROUND(O132/12,2)</f>
        <v>32115.03</v>
      </c>
    </row>
    <row r="134" spans="1:15" ht="16" thickBot="1" x14ac:dyDescent="0.25">
      <c r="A134" s="1592"/>
      <c r="B134" s="477" t="s">
        <v>251</v>
      </c>
      <c r="C134" s="481">
        <f>C132/12</f>
        <v>30807.416666666668</v>
      </c>
      <c r="D134" s="227">
        <f>ROUND(D133/160.33,2)</f>
        <v>200.31</v>
      </c>
      <c r="E134" s="484"/>
      <c r="F134" s="227">
        <f t="shared" ref="F134:O134" si="43">ROUND(F133/160.33,2)</f>
        <v>200.31</v>
      </c>
      <c r="G134" s="227">
        <f t="shared" si="43"/>
        <v>192.15</v>
      </c>
      <c r="H134" s="227">
        <f t="shared" si="43"/>
        <v>200.31</v>
      </c>
      <c r="I134" s="227">
        <f t="shared" si="43"/>
        <v>192.15</v>
      </c>
      <c r="J134" s="227">
        <f t="shared" si="43"/>
        <v>200.31</v>
      </c>
      <c r="K134" s="227">
        <f t="shared" si="43"/>
        <v>192.15</v>
      </c>
      <c r="L134" s="227">
        <f t="shared" si="43"/>
        <v>200.31</v>
      </c>
      <c r="M134" s="227">
        <f t="shared" si="43"/>
        <v>0</v>
      </c>
      <c r="N134" s="227">
        <f t="shared" si="43"/>
        <v>0</v>
      </c>
      <c r="O134" s="227">
        <f t="shared" si="43"/>
        <v>200.31</v>
      </c>
    </row>
    <row r="135" spans="1:15" x14ac:dyDescent="0.2">
      <c r="A135" s="1591">
        <v>44</v>
      </c>
      <c r="B135" s="233" t="s">
        <v>100</v>
      </c>
      <c r="C135" s="229">
        <v>377937</v>
      </c>
      <c r="D135" s="222">
        <f>ROUND((C135*(1+'Løntabel gældende fra'!$D$7%)),0)</f>
        <v>393979</v>
      </c>
      <c r="E135" s="230">
        <v>377937</v>
      </c>
      <c r="F135" s="231">
        <f>ROUND((E135*(1+'Løntabel gældende fra'!$D$7%)),0)</f>
        <v>393979</v>
      </c>
      <c r="G135" s="229">
        <v>377937</v>
      </c>
      <c r="H135" s="222">
        <f>ROUND((G135*(1+'Løntabel gældende fra'!$D$7%)),0)</f>
        <v>393979</v>
      </c>
      <c r="I135" s="230">
        <v>377937</v>
      </c>
      <c r="J135" s="231">
        <f>ROUND((I135*(1+'Løntabel gældende fra'!$D$7%)),0)</f>
        <v>393979</v>
      </c>
      <c r="K135" s="229">
        <v>377937</v>
      </c>
      <c r="L135" s="222">
        <f>ROUND((K135*(1+'Løntabel gældende fra'!$D$7%)),0)</f>
        <v>393979</v>
      </c>
      <c r="M135" s="491"/>
      <c r="N135" s="469">
        <v>377937.3</v>
      </c>
      <c r="O135" s="236">
        <f>ROUND(N135*(1+'Løntabel gældende fra'!$D$7%),2)</f>
        <v>393979.23</v>
      </c>
    </row>
    <row r="136" spans="1:15" x14ac:dyDescent="0.2">
      <c r="A136" s="1589"/>
      <c r="B136" s="475" t="s">
        <v>261</v>
      </c>
      <c r="C136" s="478"/>
      <c r="D136" s="485">
        <f>ROUND(D135/12,2)</f>
        <v>32831.58</v>
      </c>
      <c r="E136" s="482">
        <f>E135/12</f>
        <v>31494.75</v>
      </c>
      <c r="F136" s="467">
        <f>ROUND(F135/12,2)</f>
        <v>32831.58</v>
      </c>
      <c r="G136" s="478">
        <f>G135/12</f>
        <v>31494.75</v>
      </c>
      <c r="H136" s="485">
        <f>ROUND(H135/12,2)</f>
        <v>32831.58</v>
      </c>
      <c r="I136" s="482">
        <f>I135/12</f>
        <v>31494.75</v>
      </c>
      <c r="J136" s="467">
        <f>ROUND(J135/12,2)</f>
        <v>32831.58</v>
      </c>
      <c r="K136" s="478">
        <f>K135/12</f>
        <v>31494.75</v>
      </c>
      <c r="L136" s="485">
        <f>ROUND(L135/12,2)</f>
        <v>32831.58</v>
      </c>
      <c r="M136" s="490"/>
      <c r="N136" s="468"/>
      <c r="O136" s="470">
        <f>ROUND(O135/12,2)</f>
        <v>32831.599999999999</v>
      </c>
    </row>
    <row r="137" spans="1:15" ht="16" thickBot="1" x14ac:dyDescent="0.25">
      <c r="A137" s="1590"/>
      <c r="B137" s="476" t="s">
        <v>251</v>
      </c>
      <c r="C137" s="226">
        <f>C135/12</f>
        <v>31494.75</v>
      </c>
      <c r="D137" s="227">
        <f>ROUND(D136/160.33,2)</f>
        <v>204.78</v>
      </c>
      <c r="E137" s="483"/>
      <c r="F137" s="227">
        <f t="shared" ref="F137:O137" si="44">ROUND(F136/160.33,2)</f>
        <v>204.78</v>
      </c>
      <c r="G137" s="227">
        <f t="shared" si="44"/>
        <v>196.44</v>
      </c>
      <c r="H137" s="227">
        <f t="shared" si="44"/>
        <v>204.78</v>
      </c>
      <c r="I137" s="227">
        <f t="shared" si="44"/>
        <v>196.44</v>
      </c>
      <c r="J137" s="227">
        <f t="shared" si="44"/>
        <v>204.78</v>
      </c>
      <c r="K137" s="227">
        <f t="shared" si="44"/>
        <v>196.44</v>
      </c>
      <c r="L137" s="227">
        <f t="shared" si="44"/>
        <v>204.78</v>
      </c>
      <c r="M137" s="227">
        <f t="shared" si="44"/>
        <v>0</v>
      </c>
      <c r="N137" s="227">
        <f t="shared" si="44"/>
        <v>0</v>
      </c>
      <c r="O137" s="227">
        <f t="shared" si="44"/>
        <v>204.78</v>
      </c>
    </row>
    <row r="138" spans="1:15" x14ac:dyDescent="0.2">
      <c r="A138" s="1588">
        <v>45</v>
      </c>
      <c r="B138" s="232" t="s">
        <v>100</v>
      </c>
      <c r="C138" s="221">
        <v>386414</v>
      </c>
      <c r="D138" s="225">
        <f>ROUND((C138*(1+'Løntabel gældende fra'!$D$7%)),0)</f>
        <v>402816</v>
      </c>
      <c r="E138" s="223">
        <v>386414</v>
      </c>
      <c r="F138" s="224">
        <f>ROUND((E138*(1+'Løntabel gældende fra'!$D$7%)),0)</f>
        <v>402816</v>
      </c>
      <c r="G138" s="221">
        <v>386414</v>
      </c>
      <c r="H138" s="225">
        <f>ROUND((G138*(1+'Løntabel gældende fra'!$D$7%)),0)</f>
        <v>402816</v>
      </c>
      <c r="I138" s="223">
        <v>386414</v>
      </c>
      <c r="J138" s="224">
        <f>ROUND((I138*(1+'Løntabel gældende fra'!$D$7%)),0)</f>
        <v>402816</v>
      </c>
      <c r="K138" s="221">
        <v>386414</v>
      </c>
      <c r="L138" s="225">
        <f>ROUND((K138*(1+'Løntabel gældende fra'!$D$7%)),0)</f>
        <v>402816</v>
      </c>
      <c r="M138" s="492"/>
      <c r="N138" s="471">
        <v>386414.29</v>
      </c>
      <c r="O138" s="472">
        <f>ROUND(N138*(1+'Løntabel gældende fra'!$D$7%),2)</f>
        <v>402816.03</v>
      </c>
    </row>
    <row r="139" spans="1:15" x14ac:dyDescent="0.2">
      <c r="A139" s="1589"/>
      <c r="B139" s="475" t="s">
        <v>261</v>
      </c>
      <c r="C139" s="478"/>
      <c r="D139" s="485">
        <f>ROUND(D138/12,2)</f>
        <v>33568</v>
      </c>
      <c r="E139" s="482">
        <f>E138/12</f>
        <v>32201.166666666668</v>
      </c>
      <c r="F139" s="467">
        <f>ROUND(F138/12,2)</f>
        <v>33568</v>
      </c>
      <c r="G139" s="478">
        <f>G138/12</f>
        <v>32201.166666666668</v>
      </c>
      <c r="H139" s="485">
        <f>ROUND(H138/12,2)</f>
        <v>33568</v>
      </c>
      <c r="I139" s="482">
        <f>I138/12</f>
        <v>32201.166666666668</v>
      </c>
      <c r="J139" s="467">
        <f>ROUND(J138/12,2)</f>
        <v>33568</v>
      </c>
      <c r="K139" s="478">
        <f>K138/12</f>
        <v>32201.166666666668</v>
      </c>
      <c r="L139" s="485">
        <f>ROUND(L138/12,2)</f>
        <v>33568</v>
      </c>
      <c r="M139" s="490"/>
      <c r="N139" s="468"/>
      <c r="O139" s="470">
        <f>ROUND(O138/12,2)</f>
        <v>33568</v>
      </c>
    </row>
    <row r="140" spans="1:15" ht="16" thickBot="1" x14ac:dyDescent="0.25">
      <c r="A140" s="1592"/>
      <c r="B140" s="477" t="s">
        <v>251</v>
      </c>
      <c r="C140" s="481">
        <f>C138/12</f>
        <v>32201.166666666668</v>
      </c>
      <c r="D140" s="227">
        <f>ROUND(D139/160.33,2)</f>
        <v>209.37</v>
      </c>
      <c r="E140" s="484"/>
      <c r="F140" s="227">
        <f t="shared" ref="F140:O140" si="45">ROUND(F139/160.33,2)</f>
        <v>209.37</v>
      </c>
      <c r="G140" s="227">
        <f t="shared" si="45"/>
        <v>200.84</v>
      </c>
      <c r="H140" s="227">
        <f t="shared" si="45"/>
        <v>209.37</v>
      </c>
      <c r="I140" s="227">
        <f t="shared" si="45"/>
        <v>200.84</v>
      </c>
      <c r="J140" s="227">
        <f t="shared" si="45"/>
        <v>209.37</v>
      </c>
      <c r="K140" s="227">
        <f t="shared" si="45"/>
        <v>200.84</v>
      </c>
      <c r="L140" s="227">
        <f t="shared" si="45"/>
        <v>209.37</v>
      </c>
      <c r="M140" s="227">
        <f t="shared" si="45"/>
        <v>0</v>
      </c>
      <c r="N140" s="227">
        <f t="shared" si="45"/>
        <v>0</v>
      </c>
      <c r="O140" s="227">
        <f t="shared" si="45"/>
        <v>209.37</v>
      </c>
    </row>
    <row r="141" spans="1:15" x14ac:dyDescent="0.2">
      <c r="A141" s="1591">
        <v>46</v>
      </c>
      <c r="B141" s="233" t="s">
        <v>100</v>
      </c>
      <c r="C141" s="229">
        <v>395125</v>
      </c>
      <c r="D141" s="222">
        <f>ROUND((C141*(1+'Løntabel gældende fra'!$D$7%)),0)</f>
        <v>411896</v>
      </c>
      <c r="E141" s="230">
        <v>395125</v>
      </c>
      <c r="F141" s="231">
        <f>ROUND((E141*(1+'Løntabel gældende fra'!$D$7%)),0)</f>
        <v>411896</v>
      </c>
      <c r="G141" s="229">
        <v>395125</v>
      </c>
      <c r="H141" s="222">
        <f>ROUND((G141*(1+'Løntabel gældende fra'!$D$7%)),0)</f>
        <v>411896</v>
      </c>
      <c r="I141" s="230">
        <v>395125</v>
      </c>
      <c r="J141" s="231">
        <f>ROUND((I141*(1+'Løntabel gældende fra'!$D$7%)),0)</f>
        <v>411896</v>
      </c>
      <c r="K141" s="229">
        <v>395125</v>
      </c>
      <c r="L141" s="222">
        <f>ROUND((K141*(1+'Løntabel gældende fra'!$D$7%)),0)</f>
        <v>411896</v>
      </c>
      <c r="M141" s="491"/>
      <c r="N141" s="469">
        <v>395124.74</v>
      </c>
      <c r="O141" s="236">
        <f>ROUND(N141*(1+'Løntabel gældende fra'!$D$7%),2)</f>
        <v>411896.2</v>
      </c>
    </row>
    <row r="142" spans="1:15" x14ac:dyDescent="0.2">
      <c r="A142" s="1589"/>
      <c r="B142" s="475" t="s">
        <v>101</v>
      </c>
      <c r="C142" s="478"/>
      <c r="D142" s="485">
        <f>ROUND(D141/12,2)</f>
        <v>34324.67</v>
      </c>
      <c r="E142" s="482">
        <f>E141/12</f>
        <v>32927.083333333336</v>
      </c>
      <c r="F142" s="467">
        <f>ROUND(F141/12,2)</f>
        <v>34324.67</v>
      </c>
      <c r="G142" s="478">
        <f>G141/12</f>
        <v>32927.083333333336</v>
      </c>
      <c r="H142" s="485">
        <f>ROUND(H141/12,2)</f>
        <v>34324.67</v>
      </c>
      <c r="I142" s="482">
        <f>I141/12</f>
        <v>32927.083333333336</v>
      </c>
      <c r="J142" s="467">
        <f>ROUND(J141/12,2)</f>
        <v>34324.67</v>
      </c>
      <c r="K142" s="478">
        <f>K141/12</f>
        <v>32927.083333333336</v>
      </c>
      <c r="L142" s="485">
        <f>ROUND(L141/12,2)</f>
        <v>34324.67</v>
      </c>
      <c r="M142" s="490"/>
      <c r="N142" s="468"/>
      <c r="O142" s="470">
        <f>ROUND(O141/12,2)</f>
        <v>34324.68</v>
      </c>
    </row>
    <row r="143" spans="1:15" ht="16" thickBot="1" x14ac:dyDescent="0.25">
      <c r="A143" s="1590"/>
      <c r="B143" s="476" t="s">
        <v>251</v>
      </c>
      <c r="C143" s="226">
        <f>C141/12</f>
        <v>32927.083333333336</v>
      </c>
      <c r="D143" s="227">
        <f>ROUND(D142/160.33,2)</f>
        <v>214.09</v>
      </c>
      <c r="E143" s="483"/>
      <c r="F143" s="227">
        <f t="shared" ref="F143:O143" si="46">ROUND(F142/160.33,2)</f>
        <v>214.09</v>
      </c>
      <c r="G143" s="227">
        <f t="shared" si="46"/>
        <v>205.37</v>
      </c>
      <c r="H143" s="227">
        <f t="shared" si="46"/>
        <v>214.09</v>
      </c>
      <c r="I143" s="227">
        <f t="shared" si="46"/>
        <v>205.37</v>
      </c>
      <c r="J143" s="227">
        <f t="shared" si="46"/>
        <v>214.09</v>
      </c>
      <c r="K143" s="227">
        <f t="shared" si="46"/>
        <v>205.37</v>
      </c>
      <c r="L143" s="227">
        <f t="shared" si="46"/>
        <v>214.09</v>
      </c>
      <c r="M143" s="227">
        <f t="shared" si="46"/>
        <v>0</v>
      </c>
      <c r="N143" s="227">
        <f t="shared" si="46"/>
        <v>0</v>
      </c>
      <c r="O143" s="227">
        <f t="shared" si="46"/>
        <v>214.09</v>
      </c>
    </row>
    <row r="144" spans="1:15" x14ac:dyDescent="0.2">
      <c r="A144" s="1588">
        <v>47</v>
      </c>
      <c r="B144" s="232" t="s">
        <v>100</v>
      </c>
      <c r="C144" s="221">
        <v>413269</v>
      </c>
      <c r="D144" s="225">
        <f>ROUND((C144*(1+'Løntabel gældende fra'!$D$7%)),0)</f>
        <v>430811</v>
      </c>
      <c r="E144" s="223">
        <v>413269</v>
      </c>
      <c r="F144" s="224">
        <f>ROUND((E144*(1+'Løntabel gældende fra'!$D$7%)),0)</f>
        <v>430811</v>
      </c>
      <c r="G144" s="221">
        <v>413269</v>
      </c>
      <c r="H144" s="225">
        <f>ROUND((G144*(1+'Løntabel gældende fra'!$D$7%)),0)</f>
        <v>430811</v>
      </c>
      <c r="I144" s="223">
        <v>413269</v>
      </c>
      <c r="J144" s="224">
        <f>ROUND((I144*(1+'Løntabel gældende fra'!$D$7%)),0)</f>
        <v>430811</v>
      </c>
      <c r="K144" s="221">
        <v>413269</v>
      </c>
      <c r="L144" s="225">
        <f>ROUND((K144*(1+'Løntabel gældende fra'!$D$7%)),0)</f>
        <v>430811</v>
      </c>
      <c r="M144" s="492"/>
      <c r="N144" s="471">
        <v>413268.87</v>
      </c>
      <c r="O144" s="472">
        <f>ROUND(N144*(1+'Løntabel gældende fra'!$D$7%),2)</f>
        <v>430810.48</v>
      </c>
    </row>
    <row r="145" spans="1:15" x14ac:dyDescent="0.2">
      <c r="A145" s="1589"/>
      <c r="B145" s="475" t="s">
        <v>261</v>
      </c>
      <c r="C145" s="478"/>
      <c r="D145" s="485">
        <f>ROUND(D144/12,2)</f>
        <v>35900.92</v>
      </c>
      <c r="E145" s="482">
        <f>E144/12</f>
        <v>34439.083333333336</v>
      </c>
      <c r="F145" s="467">
        <f>ROUND(F144/12,2)</f>
        <v>35900.92</v>
      </c>
      <c r="G145" s="478">
        <f>G144/12</f>
        <v>34439.083333333336</v>
      </c>
      <c r="H145" s="485">
        <f>ROUND(H144/12,2)</f>
        <v>35900.92</v>
      </c>
      <c r="I145" s="482">
        <f>I144/12</f>
        <v>34439.083333333336</v>
      </c>
      <c r="J145" s="467">
        <f>ROUND(J144/12,2)</f>
        <v>35900.92</v>
      </c>
      <c r="K145" s="478">
        <f>K144/12</f>
        <v>34439.083333333336</v>
      </c>
      <c r="L145" s="485">
        <f>ROUND(L144/12,2)</f>
        <v>35900.92</v>
      </c>
      <c r="M145" s="490"/>
      <c r="N145" s="468"/>
      <c r="O145" s="470">
        <f>ROUND(O144/12,2)</f>
        <v>35900.870000000003</v>
      </c>
    </row>
    <row r="146" spans="1:15" ht="16" thickBot="1" x14ac:dyDescent="0.25">
      <c r="A146" s="1592"/>
      <c r="B146" s="477" t="s">
        <v>251</v>
      </c>
      <c r="C146" s="481">
        <f>C144/12</f>
        <v>34439.083333333336</v>
      </c>
      <c r="D146" s="227">
        <f>ROUND(D145/160.33,2)</f>
        <v>223.92</v>
      </c>
      <c r="E146" s="484"/>
      <c r="F146" s="227">
        <f t="shared" ref="F146:O146" si="47">ROUND(F145/160.33,2)</f>
        <v>223.92</v>
      </c>
      <c r="G146" s="227">
        <f t="shared" si="47"/>
        <v>214.8</v>
      </c>
      <c r="H146" s="227">
        <f t="shared" si="47"/>
        <v>223.92</v>
      </c>
      <c r="I146" s="227">
        <f t="shared" si="47"/>
        <v>214.8</v>
      </c>
      <c r="J146" s="227">
        <f t="shared" si="47"/>
        <v>223.92</v>
      </c>
      <c r="K146" s="227">
        <f t="shared" si="47"/>
        <v>214.8</v>
      </c>
      <c r="L146" s="227">
        <f t="shared" si="47"/>
        <v>223.92</v>
      </c>
      <c r="M146" s="227">
        <f t="shared" si="47"/>
        <v>0</v>
      </c>
      <c r="N146" s="227">
        <f t="shared" si="47"/>
        <v>0</v>
      </c>
      <c r="O146" s="227">
        <f t="shared" si="47"/>
        <v>223.92</v>
      </c>
    </row>
    <row r="147" spans="1:15" x14ac:dyDescent="0.2">
      <c r="A147" s="1591">
        <v>48</v>
      </c>
      <c r="B147" s="233" t="s">
        <v>100</v>
      </c>
      <c r="C147" s="229">
        <v>441027</v>
      </c>
      <c r="D147" s="222">
        <f>ROUND((C147*(1+'Løntabel gældende fra'!$D$7%)),0)</f>
        <v>459747</v>
      </c>
      <c r="E147" s="230">
        <v>441027</v>
      </c>
      <c r="F147" s="231">
        <f>ROUND((E147*(1+'Løntabel gældende fra'!$D$7%)),0)</f>
        <v>459747</v>
      </c>
      <c r="G147" s="229">
        <v>441027</v>
      </c>
      <c r="H147" s="222">
        <f>ROUND((G147*(1+'Løntabel gældende fra'!$D$7%)),0)</f>
        <v>459747</v>
      </c>
      <c r="I147" s="230">
        <v>441027</v>
      </c>
      <c r="J147" s="231">
        <f>ROUND((I147*(1+'Løntabel gældende fra'!$D$7%)),0)</f>
        <v>459747</v>
      </c>
      <c r="K147" s="229">
        <v>441027</v>
      </c>
      <c r="L147" s="222">
        <f>ROUND((K147*(1+'Løntabel gældende fra'!$D$7%)),0)</f>
        <v>459747</v>
      </c>
      <c r="M147" s="491"/>
      <c r="N147" s="469">
        <v>441025.75</v>
      </c>
      <c r="O147" s="236">
        <f>ROUND(N147*(1+'Løntabel gældende fra'!$D$7%),2)</f>
        <v>459745.53</v>
      </c>
    </row>
    <row r="148" spans="1:15" x14ac:dyDescent="0.2">
      <c r="A148" s="1589"/>
      <c r="B148" s="475" t="s">
        <v>261</v>
      </c>
      <c r="C148" s="478"/>
      <c r="D148" s="485">
        <f>ROUND(D147/12,2)</f>
        <v>38312.25</v>
      </c>
      <c r="E148" s="482">
        <f>E147/12</f>
        <v>36752.25</v>
      </c>
      <c r="F148" s="467">
        <f>ROUND(F147/12,2)</f>
        <v>38312.25</v>
      </c>
      <c r="G148" s="478">
        <f>G147/12</f>
        <v>36752.25</v>
      </c>
      <c r="H148" s="485">
        <f>ROUND(H147/12,2)</f>
        <v>38312.25</v>
      </c>
      <c r="I148" s="482">
        <f>I147/12</f>
        <v>36752.25</v>
      </c>
      <c r="J148" s="467">
        <f>ROUND(J147/12,2)</f>
        <v>38312.25</v>
      </c>
      <c r="K148" s="478">
        <f>K147/12</f>
        <v>36752.25</v>
      </c>
      <c r="L148" s="485">
        <f>ROUND(L147/12,2)</f>
        <v>38312.25</v>
      </c>
      <c r="M148" s="490"/>
      <c r="N148" s="468"/>
      <c r="O148" s="470">
        <f>ROUND(O147/12,2)</f>
        <v>38312.129999999997</v>
      </c>
    </row>
    <row r="149" spans="1:15" ht="16" thickBot="1" x14ac:dyDescent="0.25">
      <c r="A149" s="1590"/>
      <c r="B149" s="476" t="s">
        <v>251</v>
      </c>
      <c r="C149" s="226">
        <f>C147/12</f>
        <v>36752.25</v>
      </c>
      <c r="D149" s="227">
        <f>ROUND(D148/160.33,2)</f>
        <v>238.96</v>
      </c>
      <c r="E149" s="483"/>
      <c r="F149" s="227">
        <f t="shared" ref="F149:O149" si="48">ROUND(F148/160.33,2)</f>
        <v>238.96</v>
      </c>
      <c r="G149" s="227">
        <f t="shared" si="48"/>
        <v>229.23</v>
      </c>
      <c r="H149" s="227">
        <f t="shared" si="48"/>
        <v>238.96</v>
      </c>
      <c r="I149" s="227">
        <f t="shared" si="48"/>
        <v>229.23</v>
      </c>
      <c r="J149" s="227">
        <f t="shared" si="48"/>
        <v>238.96</v>
      </c>
      <c r="K149" s="227">
        <f t="shared" si="48"/>
        <v>229.23</v>
      </c>
      <c r="L149" s="227">
        <f t="shared" si="48"/>
        <v>238.96</v>
      </c>
      <c r="M149" s="227">
        <f t="shared" si="48"/>
        <v>0</v>
      </c>
      <c r="N149" s="227">
        <f t="shared" si="48"/>
        <v>0</v>
      </c>
      <c r="O149" s="227">
        <f t="shared" si="48"/>
        <v>238.96</v>
      </c>
    </row>
    <row r="150" spans="1:15" x14ac:dyDescent="0.2">
      <c r="A150" s="1588">
        <v>49</v>
      </c>
      <c r="B150" s="232" t="s">
        <v>100</v>
      </c>
      <c r="C150" s="221">
        <v>471781</v>
      </c>
      <c r="D150" s="225">
        <f>ROUND((C150*(1+'Løntabel gældende fra'!$D$7%)),0)</f>
        <v>491806</v>
      </c>
      <c r="E150" s="223">
        <v>471781</v>
      </c>
      <c r="F150" s="224">
        <f>ROUND((E150*(1+'Løntabel gældende fra'!$D$7%)),0)</f>
        <v>491806</v>
      </c>
      <c r="G150" s="221">
        <v>471781</v>
      </c>
      <c r="H150" s="225">
        <f>ROUND((G150*(1+'Løntabel gældende fra'!$D$7%)),0)</f>
        <v>491806</v>
      </c>
      <c r="I150" s="223">
        <v>471781</v>
      </c>
      <c r="J150" s="224">
        <f>ROUND((I150*(1+'Løntabel gældende fra'!$D$7%)),0)</f>
        <v>491806</v>
      </c>
      <c r="K150" s="221">
        <v>471781</v>
      </c>
      <c r="L150" s="225">
        <f>ROUND((K150*(1+'Løntabel gældende fra'!$D$7%)),0)</f>
        <v>491806</v>
      </c>
      <c r="M150" s="492"/>
      <c r="N150" s="471">
        <v>471780.9</v>
      </c>
      <c r="O150" s="472">
        <f>ROUND(N150*(1+'Løntabel gældende fra'!$D$7%),2)</f>
        <v>491806.11</v>
      </c>
    </row>
    <row r="151" spans="1:15" x14ac:dyDescent="0.2">
      <c r="A151" s="1589"/>
      <c r="B151" s="475" t="s">
        <v>261</v>
      </c>
      <c r="C151" s="478"/>
      <c r="D151" s="485">
        <f>ROUND(D150/12,2)</f>
        <v>40983.83</v>
      </c>
      <c r="E151" s="482">
        <f>E150/12</f>
        <v>39315.083333333336</v>
      </c>
      <c r="F151" s="467">
        <f>ROUND(F150/12,2)</f>
        <v>40983.83</v>
      </c>
      <c r="G151" s="478">
        <f>G150/12</f>
        <v>39315.083333333336</v>
      </c>
      <c r="H151" s="485">
        <f>ROUND(H150/12,2)</f>
        <v>40983.83</v>
      </c>
      <c r="I151" s="482">
        <f>I150/12</f>
        <v>39315.083333333336</v>
      </c>
      <c r="J151" s="467">
        <f>ROUND(J150/12,2)</f>
        <v>40983.83</v>
      </c>
      <c r="K151" s="478">
        <f>K150/12</f>
        <v>39315.083333333336</v>
      </c>
      <c r="L151" s="485">
        <f>ROUND(L150/12,2)</f>
        <v>40983.83</v>
      </c>
      <c r="M151" s="490"/>
      <c r="N151" s="468"/>
      <c r="O151" s="470">
        <f>ROUND(O150/12,2)</f>
        <v>40983.839999999997</v>
      </c>
    </row>
    <row r="152" spans="1:15" ht="16" thickBot="1" x14ac:dyDescent="0.25">
      <c r="A152" s="1592"/>
      <c r="B152" s="477" t="s">
        <v>251</v>
      </c>
      <c r="C152" s="481">
        <f>C150/12</f>
        <v>39315.083333333336</v>
      </c>
      <c r="D152" s="227">
        <f>ROUND(D151/160.33,2)</f>
        <v>255.62</v>
      </c>
      <c r="E152" s="484"/>
      <c r="F152" s="227">
        <f t="shared" ref="F152:O152" si="49">ROUND(F151/160.33,2)</f>
        <v>255.62</v>
      </c>
      <c r="G152" s="227">
        <f t="shared" si="49"/>
        <v>245.21</v>
      </c>
      <c r="H152" s="227">
        <f t="shared" si="49"/>
        <v>255.62</v>
      </c>
      <c r="I152" s="227">
        <f t="shared" si="49"/>
        <v>245.21</v>
      </c>
      <c r="J152" s="227">
        <f t="shared" si="49"/>
        <v>255.62</v>
      </c>
      <c r="K152" s="227">
        <f t="shared" si="49"/>
        <v>245.21</v>
      </c>
      <c r="L152" s="227">
        <f t="shared" si="49"/>
        <v>255.62</v>
      </c>
      <c r="M152" s="227">
        <f t="shared" si="49"/>
        <v>0</v>
      </c>
      <c r="N152" s="227">
        <f t="shared" si="49"/>
        <v>0</v>
      </c>
      <c r="O152" s="227">
        <f t="shared" si="49"/>
        <v>255.62</v>
      </c>
    </row>
    <row r="153" spans="1:15" x14ac:dyDescent="0.2">
      <c r="A153" s="1591">
        <v>50</v>
      </c>
      <c r="B153" s="233" t="s">
        <v>100</v>
      </c>
      <c r="C153" s="229">
        <v>521094</v>
      </c>
      <c r="D153" s="222">
        <f>ROUND((C153*(1+'Løntabel gældende fra'!$D$7%)),0)</f>
        <v>543212</v>
      </c>
      <c r="E153" s="230">
        <v>521094</v>
      </c>
      <c r="F153" s="231">
        <f>ROUND((E153*(1+'Løntabel gældende fra'!$D$7%)),0)</f>
        <v>543212</v>
      </c>
      <c r="G153" s="487">
        <v>521094</v>
      </c>
      <c r="H153" s="222">
        <f>ROUND((G153*(1+'Løntabel gældende fra'!$D$7%)),0)</f>
        <v>543212</v>
      </c>
      <c r="I153" s="488">
        <v>521094</v>
      </c>
      <c r="J153" s="231">
        <f>ROUND((I153*(1+'Løntabel gældende fra'!$D$7%)),0)</f>
        <v>543212</v>
      </c>
      <c r="K153" s="487">
        <v>521094</v>
      </c>
      <c r="L153" s="222">
        <f>ROUND((K153*(1+'Løntabel gældende fra'!$D$7%)),0)</f>
        <v>543212</v>
      </c>
      <c r="M153" s="491"/>
      <c r="N153" s="469">
        <v>521094.47</v>
      </c>
      <c r="O153" s="236">
        <f>ROUND(N153*(1+'Løntabel gældende fra'!$D$7%),2)</f>
        <v>543212.85</v>
      </c>
    </row>
    <row r="154" spans="1:15" x14ac:dyDescent="0.2">
      <c r="A154" s="1589"/>
      <c r="B154" s="475" t="s">
        <v>261</v>
      </c>
      <c r="C154" s="478"/>
      <c r="D154" s="485">
        <f>ROUND(D153/12,2)</f>
        <v>45267.67</v>
      </c>
      <c r="E154" s="482">
        <f>E153/12</f>
        <v>43424.5</v>
      </c>
      <c r="F154" s="467">
        <f>ROUND(F153/12,2)</f>
        <v>45267.67</v>
      </c>
      <c r="G154" s="478">
        <f>G153/12</f>
        <v>43424.5</v>
      </c>
      <c r="H154" s="485">
        <f>ROUND(H153/12,2)</f>
        <v>45267.67</v>
      </c>
      <c r="I154" s="482">
        <f>I153/12</f>
        <v>43424.5</v>
      </c>
      <c r="J154" s="467">
        <f>ROUND(J153/12,2)</f>
        <v>45267.67</v>
      </c>
      <c r="K154" s="478">
        <f>K153/12</f>
        <v>43424.5</v>
      </c>
      <c r="L154" s="485">
        <f>ROUND(L153/12,2)</f>
        <v>45267.67</v>
      </c>
      <c r="M154" s="490"/>
      <c r="N154" s="468"/>
      <c r="O154" s="470">
        <f>ROUND(O153/12,2)</f>
        <v>45267.74</v>
      </c>
    </row>
    <row r="155" spans="1:15" ht="16" thickBot="1" x14ac:dyDescent="0.25">
      <c r="A155" s="1590"/>
      <c r="B155" s="476" t="s">
        <v>251</v>
      </c>
      <c r="C155" s="226">
        <f>C153/12</f>
        <v>43424.5</v>
      </c>
      <c r="D155" s="227">
        <f>ROUND(D154/160.33,2)</f>
        <v>282.33999999999997</v>
      </c>
      <c r="E155" s="483"/>
      <c r="F155" s="227">
        <f t="shared" ref="F155:O155" si="50">ROUND(F154/160.33,2)</f>
        <v>282.33999999999997</v>
      </c>
      <c r="G155" s="227">
        <f t="shared" si="50"/>
        <v>270.83999999999997</v>
      </c>
      <c r="H155" s="227">
        <f t="shared" si="50"/>
        <v>282.33999999999997</v>
      </c>
      <c r="I155" s="227">
        <f t="shared" si="50"/>
        <v>270.83999999999997</v>
      </c>
      <c r="J155" s="227">
        <f t="shared" si="50"/>
        <v>282.33999999999997</v>
      </c>
      <c r="K155" s="227">
        <f t="shared" si="50"/>
        <v>270.83999999999997</v>
      </c>
      <c r="L155" s="227">
        <f t="shared" si="50"/>
        <v>282.33999999999997</v>
      </c>
      <c r="M155" s="227">
        <f t="shared" si="50"/>
        <v>0</v>
      </c>
      <c r="N155" s="227">
        <f t="shared" si="50"/>
        <v>0</v>
      </c>
      <c r="O155" s="227">
        <f t="shared" si="50"/>
        <v>282.33999999999997</v>
      </c>
    </row>
    <row r="156" spans="1:15" x14ac:dyDescent="0.2">
      <c r="A156" s="1588">
        <v>51</v>
      </c>
      <c r="B156" s="232" t="s">
        <v>100</v>
      </c>
      <c r="C156" s="221">
        <v>592911</v>
      </c>
      <c r="D156" s="225">
        <f>ROUND((C156*(1+'Løntabel gældende fra'!$D$7%)),0)</f>
        <v>618078</v>
      </c>
      <c r="E156" s="223">
        <v>592911</v>
      </c>
      <c r="F156" s="224">
        <f>ROUND((E156*(1+'Løntabel gældende fra'!$D$7%)),0)</f>
        <v>618078</v>
      </c>
      <c r="G156" s="234">
        <v>592911</v>
      </c>
      <c r="H156" s="225">
        <f>ROUND((G156*(1+'Løntabel gældende fra'!$D$7%)),0)</f>
        <v>618078</v>
      </c>
      <c r="I156" s="235">
        <v>592911</v>
      </c>
      <c r="J156" s="224">
        <f>ROUND((I156*(1+'Løntabel gældende fra'!$D$7%)),0)</f>
        <v>618078</v>
      </c>
      <c r="K156" s="234">
        <v>592911</v>
      </c>
      <c r="L156" s="225">
        <f>ROUND((K156*(1+'Løntabel gældende fra'!$D$7%)),0)</f>
        <v>618078</v>
      </c>
      <c r="M156" s="492"/>
      <c r="N156" s="471">
        <v>592911.94999999995</v>
      </c>
      <c r="O156" s="472">
        <f>ROUND(N156*(1+'Løntabel gældende fra'!$D$7%),2)</f>
        <v>618078.68999999994</v>
      </c>
    </row>
    <row r="157" spans="1:15" x14ac:dyDescent="0.2">
      <c r="A157" s="1589"/>
      <c r="B157" s="475" t="s">
        <v>101</v>
      </c>
      <c r="C157" s="478"/>
      <c r="D157" s="485">
        <f>ROUND(D156/12,2)</f>
        <v>51506.5</v>
      </c>
      <c r="E157" s="482">
        <f>E156/12</f>
        <v>49409.25</v>
      </c>
      <c r="F157" s="467">
        <f>ROUND(F156/12,2)</f>
        <v>51506.5</v>
      </c>
      <c r="G157" s="478">
        <f>G156/12</f>
        <v>49409.25</v>
      </c>
      <c r="H157" s="485">
        <f>ROUND(H156/12,2)</f>
        <v>51506.5</v>
      </c>
      <c r="I157" s="482">
        <f>I156/12</f>
        <v>49409.25</v>
      </c>
      <c r="J157" s="467">
        <f>ROUND(J156/12,2)</f>
        <v>51506.5</v>
      </c>
      <c r="K157" s="478">
        <f>K156/12</f>
        <v>49409.25</v>
      </c>
      <c r="L157" s="485">
        <f>ROUND(L156/12,2)</f>
        <v>51506.5</v>
      </c>
      <c r="M157" s="490"/>
      <c r="N157" s="468"/>
      <c r="O157" s="470">
        <f>ROUND(O156/12,2)</f>
        <v>51506.559999999998</v>
      </c>
    </row>
    <row r="158" spans="1:15" ht="16" thickBot="1" x14ac:dyDescent="0.25">
      <c r="A158" s="1590"/>
      <c r="B158" s="476" t="s">
        <v>251</v>
      </c>
      <c r="C158" s="226">
        <f>C156/12</f>
        <v>49409.25</v>
      </c>
      <c r="D158" s="227">
        <f>ROUND(D157/160.33,2)</f>
        <v>321.25</v>
      </c>
      <c r="E158" s="483"/>
      <c r="F158" s="227">
        <f t="shared" ref="F158:O158" si="51">ROUND(F157/160.33,2)</f>
        <v>321.25</v>
      </c>
      <c r="G158" s="227">
        <f t="shared" si="51"/>
        <v>308.17</v>
      </c>
      <c r="H158" s="227">
        <f t="shared" si="51"/>
        <v>321.25</v>
      </c>
      <c r="I158" s="227">
        <f t="shared" si="51"/>
        <v>308.17</v>
      </c>
      <c r="J158" s="227">
        <f t="shared" si="51"/>
        <v>321.25</v>
      </c>
      <c r="K158" s="227">
        <f t="shared" si="51"/>
        <v>308.17</v>
      </c>
      <c r="L158" s="227">
        <f t="shared" si="51"/>
        <v>321.25</v>
      </c>
      <c r="M158" s="227">
        <f t="shared" si="51"/>
        <v>0</v>
      </c>
      <c r="N158" s="227">
        <f t="shared" si="51"/>
        <v>0</v>
      </c>
      <c r="O158" s="227">
        <f t="shared" si="51"/>
        <v>321.25</v>
      </c>
    </row>
  </sheetData>
  <sheetProtection sheet="1" objects="1" scenarios="1"/>
  <mergeCells count="55">
    <mergeCell ref="A129:A131"/>
    <mergeCell ref="A132:A134"/>
    <mergeCell ref="A150:A152"/>
    <mergeCell ref="A153:A155"/>
    <mergeCell ref="A135:A137"/>
    <mergeCell ref="A138:A140"/>
    <mergeCell ref="A141:A143"/>
    <mergeCell ref="A144:A146"/>
    <mergeCell ref="A147:A149"/>
    <mergeCell ref="A114:A116"/>
    <mergeCell ref="A117:A119"/>
    <mergeCell ref="A120:A122"/>
    <mergeCell ref="A123:A125"/>
    <mergeCell ref="A126:A128"/>
    <mergeCell ref="A99:A101"/>
    <mergeCell ref="A102:A104"/>
    <mergeCell ref="A105:A107"/>
    <mergeCell ref="A108:A110"/>
    <mergeCell ref="A111:A113"/>
    <mergeCell ref="A84:A86"/>
    <mergeCell ref="A87:A89"/>
    <mergeCell ref="A90:A92"/>
    <mergeCell ref="A93:A95"/>
    <mergeCell ref="A96:A98"/>
    <mergeCell ref="A1:O1"/>
    <mergeCell ref="A3:O3"/>
    <mergeCell ref="A75:A77"/>
    <mergeCell ref="A78:A80"/>
    <mergeCell ref="A81:A83"/>
    <mergeCell ref="A21:A23"/>
    <mergeCell ref="A24:A26"/>
    <mergeCell ref="A27:A29"/>
    <mergeCell ref="A9:A11"/>
    <mergeCell ref="A12:A14"/>
    <mergeCell ref="A15:A17"/>
    <mergeCell ref="A18:A20"/>
    <mergeCell ref="A6:A8"/>
    <mergeCell ref="A4:O4"/>
    <mergeCell ref="A2:O2"/>
    <mergeCell ref="A156:A158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</mergeCells>
  <phoneticPr fontId="6" type="noConversion"/>
  <pageMargins left="0.47244094488188981" right="0.47244094488188981" top="0.74803149606299213" bottom="0.74803149606299213" header="0.31496062992125984" footer="0.31496062992125984"/>
  <pageSetup paperSize="9" scale="85" fitToHeight="4" orientation="portrait" r:id="rId1"/>
  <headerFooter>
    <oddFooter>&amp;C&amp;"Times New Roman,Normal"&amp;8&amp;K000000Statens takster&amp;R&amp;"Times New Roman,Normal"&amp;8&amp;K000000Side &amp;P af i alt &amp;N</oddFooter>
  </headerFooter>
  <rowBreaks count="1" manualBreakCount="1">
    <brk id="10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view="pageBreakPreview" zoomScale="125" zoomScaleNormal="125" zoomScalePageLayoutView="125" workbookViewId="0">
      <selection activeCell="D8" sqref="D8"/>
    </sheetView>
  </sheetViews>
  <sheetFormatPr baseColWidth="10" defaultColWidth="11.33203125" defaultRowHeight="15" x14ac:dyDescent="0.2"/>
  <cols>
    <col min="2" max="2" width="11.1640625" customWidth="1"/>
    <col min="3" max="3" width="15.33203125" customWidth="1"/>
    <col min="4" max="4" width="11.33203125" customWidth="1"/>
    <col min="6" max="6" width="20" customWidth="1"/>
    <col min="7" max="7" width="16.33203125" customWidth="1"/>
    <col min="8" max="8" width="8.1640625" customWidth="1"/>
  </cols>
  <sheetData>
    <row r="1" spans="1:9" x14ac:dyDescent="0.2">
      <c r="A1" t="s">
        <v>33</v>
      </c>
      <c r="C1" s="5"/>
      <c r="D1" s="858" t="s">
        <v>441</v>
      </c>
    </row>
    <row r="3" spans="1:9" ht="20" x14ac:dyDescent="0.2">
      <c r="A3" s="21" t="s">
        <v>27</v>
      </c>
      <c r="B3" s="22"/>
      <c r="C3" s="22"/>
      <c r="D3" s="22"/>
      <c r="E3" s="22"/>
      <c r="F3" s="22"/>
      <c r="G3" s="22"/>
    </row>
    <row r="4" spans="1:9" x14ac:dyDescent="0.2">
      <c r="A4" s="22"/>
      <c r="B4" s="22"/>
      <c r="C4" s="22"/>
      <c r="D4" s="22"/>
      <c r="E4" s="22"/>
      <c r="F4" s="22"/>
      <c r="G4" s="22"/>
      <c r="H4" s="2"/>
      <c r="I4" s="2"/>
    </row>
    <row r="5" spans="1:9" ht="18" x14ac:dyDescent="0.2">
      <c r="A5" s="17" t="s">
        <v>28</v>
      </c>
      <c r="B5" s="22"/>
      <c r="C5" s="22"/>
      <c r="D5" s="22"/>
      <c r="E5" s="22"/>
      <c r="F5" s="22"/>
      <c r="G5" s="22"/>
      <c r="H5" s="2"/>
      <c r="I5" s="2"/>
    </row>
    <row r="6" spans="1:9" x14ac:dyDescent="0.2">
      <c r="A6" s="22"/>
      <c r="B6" s="22"/>
      <c r="C6" s="22"/>
      <c r="D6" s="22"/>
      <c r="E6" s="22"/>
      <c r="F6" s="22"/>
      <c r="G6" s="22"/>
      <c r="H6" s="2"/>
      <c r="I6" s="2"/>
    </row>
    <row r="7" spans="1:9" ht="16" x14ac:dyDescent="0.2">
      <c r="A7" s="1605" t="s">
        <v>31</v>
      </c>
      <c r="B7" s="1605"/>
      <c r="C7" s="836">
        <v>42461</v>
      </c>
      <c r="D7" s="32">
        <v>4.2446000000000002</v>
      </c>
      <c r="E7" s="31" t="s">
        <v>35</v>
      </c>
      <c r="F7" s="31"/>
      <c r="G7" s="164" t="s">
        <v>439</v>
      </c>
      <c r="H7" s="2"/>
      <c r="I7" s="2"/>
    </row>
    <row r="8" spans="1:9" x14ac:dyDescent="0.2">
      <c r="A8" s="22"/>
      <c r="B8" s="22"/>
      <c r="C8" s="22"/>
      <c r="D8" s="22"/>
      <c r="E8" s="22"/>
      <c r="F8" s="22"/>
      <c r="G8" s="22"/>
      <c r="H8" s="2"/>
      <c r="I8" s="2"/>
    </row>
    <row r="9" spans="1:9" ht="16" thickBot="1" x14ac:dyDescent="0.25">
      <c r="A9" s="23" t="s">
        <v>32</v>
      </c>
      <c r="B9" s="22"/>
      <c r="C9" s="22"/>
      <c r="D9" s="22"/>
      <c r="E9" s="22"/>
      <c r="F9" s="22"/>
      <c r="G9" s="22"/>
      <c r="H9" s="2"/>
      <c r="I9" s="2"/>
    </row>
    <row r="10" spans="1:9" x14ac:dyDescent="0.2">
      <c r="A10" s="24" t="s">
        <v>29</v>
      </c>
      <c r="B10" s="25" t="s">
        <v>30</v>
      </c>
      <c r="C10" s="1606" t="s">
        <v>34</v>
      </c>
      <c r="D10" s="1607"/>
      <c r="E10" s="1607"/>
      <c r="F10" s="1607"/>
      <c r="G10" s="1607"/>
      <c r="H10" s="2"/>
      <c r="I10" s="2"/>
    </row>
    <row r="11" spans="1:9" x14ac:dyDescent="0.2">
      <c r="A11" s="247">
        <v>40999</v>
      </c>
      <c r="B11" s="33">
        <v>1</v>
      </c>
      <c r="C11" s="1606"/>
      <c r="D11" s="1607"/>
      <c r="E11" s="1607"/>
      <c r="F11" s="1607"/>
      <c r="G11" s="1607"/>
      <c r="H11" s="2"/>
      <c r="I11" s="2"/>
    </row>
    <row r="12" spans="1:9" x14ac:dyDescent="0.2">
      <c r="A12" s="107">
        <v>41000</v>
      </c>
      <c r="B12" s="33">
        <v>1.304</v>
      </c>
      <c r="C12" s="22"/>
      <c r="D12" s="22"/>
      <c r="E12" s="22"/>
      <c r="F12" s="22"/>
      <c r="G12" s="22"/>
      <c r="H12" s="2"/>
      <c r="I12" s="2"/>
    </row>
    <row r="13" spans="1:9" x14ac:dyDescent="0.2">
      <c r="A13" s="107">
        <v>41365</v>
      </c>
      <c r="B13" s="33">
        <v>1.304</v>
      </c>
      <c r="C13" s="22"/>
      <c r="D13" s="22"/>
      <c r="E13" s="26"/>
      <c r="F13" s="22"/>
      <c r="G13" s="22"/>
      <c r="H13" s="2"/>
      <c r="I13" s="2"/>
    </row>
    <row r="14" spans="1:9" x14ac:dyDescent="0.2">
      <c r="A14" s="248">
        <v>41730</v>
      </c>
      <c r="B14" s="18">
        <v>1.7161999999999999</v>
      </c>
      <c r="C14" s="22"/>
      <c r="D14" s="22"/>
      <c r="E14" s="22"/>
      <c r="F14" s="22"/>
      <c r="G14" s="22"/>
      <c r="H14" s="2"/>
      <c r="I14" s="2"/>
    </row>
    <row r="15" spans="1:9" x14ac:dyDescent="0.2">
      <c r="A15" s="248">
        <v>42095</v>
      </c>
      <c r="B15" s="18">
        <v>2.1745000000000001</v>
      </c>
      <c r="C15" s="22"/>
      <c r="D15" s="22"/>
      <c r="E15" s="22"/>
      <c r="F15" s="22"/>
      <c r="G15" s="22"/>
      <c r="H15" s="2"/>
      <c r="I15" s="2"/>
    </row>
    <row r="16" spans="1:9" x14ac:dyDescent="0.2">
      <c r="A16" s="248">
        <v>42461</v>
      </c>
      <c r="B16" s="18">
        <v>2.9882</v>
      </c>
      <c r="C16" s="22"/>
      <c r="D16" s="22"/>
      <c r="E16" s="22"/>
      <c r="F16" s="22"/>
      <c r="G16" s="22"/>
      <c r="H16" s="2"/>
      <c r="I16" s="2"/>
    </row>
    <row r="17" spans="1:12" x14ac:dyDescent="0.2">
      <c r="A17" s="857">
        <v>4.4641203703703704E-2</v>
      </c>
      <c r="B17" s="18">
        <v>4.2446000000000002</v>
      </c>
      <c r="C17" s="22"/>
      <c r="D17" s="22"/>
      <c r="E17" s="22"/>
      <c r="F17" s="22"/>
      <c r="G17" s="22"/>
      <c r="H17" s="2"/>
      <c r="I17" s="2"/>
      <c r="L17" s="13"/>
    </row>
    <row r="18" spans="1:12" ht="16" thickBot="1" x14ac:dyDescent="0.25">
      <c r="A18" s="19"/>
      <c r="B18" s="20"/>
      <c r="C18" s="22"/>
      <c r="D18" s="22"/>
      <c r="E18" s="22"/>
      <c r="F18" s="31"/>
      <c r="G18" s="22"/>
      <c r="H18" s="2"/>
      <c r="I18" s="2"/>
    </row>
    <row r="19" spans="1:12" x14ac:dyDescent="0.2">
      <c r="A19" s="22"/>
      <c r="B19" s="22"/>
      <c r="C19" s="22"/>
      <c r="D19" s="22"/>
      <c r="E19" s="22"/>
      <c r="F19" s="22"/>
      <c r="G19" s="22"/>
      <c r="H19" s="2"/>
      <c r="I19" s="2"/>
    </row>
  </sheetData>
  <sheetProtection sheet="1" objects="1" scenarios="1"/>
  <mergeCells count="2">
    <mergeCell ref="A7:B7"/>
    <mergeCell ref="C10:G11"/>
  </mergeCells>
  <phoneticPr fontId="6" type="noConversion"/>
  <pageMargins left="0.75000000000000011" right="0.75000000000000011" top="0.98" bottom="0.98" header="0.51" footer="0.51"/>
  <pageSetup paperSize="9" scale="88" orientation="portrait" r:id="rId1"/>
  <headerFooter>
    <oddFooter>&amp;C&amp;"Calibri,Normal"&amp;K000000Løntabel gældende fra &amp;R&amp;"Calibri,Normal"&amp;K000000Side &amp;P af i alt &amp;N sider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opLeftCell="A3" workbookViewId="0">
      <selection activeCell="B17" sqref="B17"/>
    </sheetView>
  </sheetViews>
  <sheetFormatPr baseColWidth="10" defaultColWidth="11.33203125" defaultRowHeight="15" x14ac:dyDescent="0.2"/>
  <cols>
    <col min="1" max="1" width="11.33203125" customWidth="1"/>
    <col min="2" max="2" width="60.1640625" customWidth="1"/>
    <col min="3" max="3" width="12.33203125" customWidth="1"/>
    <col min="4" max="4" width="12.6640625" customWidth="1"/>
    <col min="5" max="6" width="13" customWidth="1"/>
    <col min="7" max="7" width="14.83203125" customWidth="1"/>
    <col min="9" max="9" width="9.33203125" customWidth="1"/>
  </cols>
  <sheetData>
    <row r="1" spans="1:9" x14ac:dyDescent="0.2">
      <c r="A1" s="916" t="s">
        <v>323</v>
      </c>
      <c r="B1" s="922" t="s">
        <v>314</v>
      </c>
      <c r="C1" s="922"/>
      <c r="D1" s="922"/>
      <c r="E1" s="922"/>
      <c r="F1" s="922"/>
      <c r="G1" s="922"/>
      <c r="H1" s="922"/>
      <c r="I1" s="923"/>
    </row>
    <row r="2" spans="1:9" ht="16" thickBot="1" x14ac:dyDescent="0.25">
      <c r="A2" s="917"/>
      <c r="B2" s="924"/>
      <c r="C2" s="924"/>
      <c r="D2" s="924"/>
      <c r="E2" s="924"/>
      <c r="F2" s="924"/>
      <c r="G2" s="924"/>
      <c r="H2" s="924"/>
      <c r="I2" s="925"/>
    </row>
    <row r="3" spans="1:9" ht="42" customHeight="1" thickBot="1" x14ac:dyDescent="0.25">
      <c r="A3" s="917"/>
      <c r="B3" s="908" t="s">
        <v>326</v>
      </c>
      <c r="C3" s="909"/>
      <c r="D3" s="909"/>
      <c r="E3" s="909"/>
      <c r="F3" s="909"/>
      <c r="G3" s="909"/>
      <c r="H3" s="909"/>
      <c r="I3" s="910"/>
    </row>
    <row r="4" spans="1:9" ht="15" customHeight="1" x14ac:dyDescent="0.2">
      <c r="A4" s="917"/>
      <c r="B4" s="626" t="s">
        <v>312</v>
      </c>
      <c r="C4" s="663" t="s">
        <v>297</v>
      </c>
      <c r="D4" s="664" t="s">
        <v>298</v>
      </c>
      <c r="E4" s="664" t="s">
        <v>299</v>
      </c>
      <c r="F4" s="663" t="s">
        <v>300</v>
      </c>
      <c r="G4" s="937" t="s">
        <v>330</v>
      </c>
      <c r="H4" s="937" t="s">
        <v>332</v>
      </c>
      <c r="I4" s="939" t="s">
        <v>305</v>
      </c>
    </row>
    <row r="5" spans="1:9" ht="29" thickBot="1" x14ac:dyDescent="0.25">
      <c r="A5" s="917"/>
      <c r="B5" s="627" t="s">
        <v>311</v>
      </c>
      <c r="C5" s="665" t="s">
        <v>317</v>
      </c>
      <c r="D5" s="665" t="s">
        <v>318</v>
      </c>
      <c r="E5" s="665" t="s">
        <v>319</v>
      </c>
      <c r="F5" s="665" t="s">
        <v>320</v>
      </c>
      <c r="G5" s="938"/>
      <c r="H5" s="938"/>
      <c r="I5" s="940"/>
    </row>
    <row r="6" spans="1:9" x14ac:dyDescent="0.2">
      <c r="A6" s="917"/>
      <c r="B6" s="642" t="s">
        <v>301</v>
      </c>
      <c r="C6" s="653" t="s">
        <v>302</v>
      </c>
      <c r="D6" s="653" t="s">
        <v>302</v>
      </c>
      <c r="E6" s="653" t="s">
        <v>302</v>
      </c>
      <c r="F6" s="653" t="s">
        <v>302</v>
      </c>
      <c r="G6" s="621" t="s">
        <v>307</v>
      </c>
      <c r="H6" s="621" t="s">
        <v>307</v>
      </c>
      <c r="I6" s="622" t="s">
        <v>307</v>
      </c>
    </row>
    <row r="7" spans="1:9" x14ac:dyDescent="0.2">
      <c r="A7" s="917"/>
      <c r="B7" s="643" t="s">
        <v>325</v>
      </c>
      <c r="C7" s="651" t="s">
        <v>302</v>
      </c>
      <c r="D7" s="651" t="s">
        <v>302</v>
      </c>
      <c r="E7" s="651" t="s">
        <v>302</v>
      </c>
      <c r="F7" s="651" t="s">
        <v>302</v>
      </c>
      <c r="G7" s="651" t="s">
        <v>308</v>
      </c>
      <c r="H7" s="620" t="s">
        <v>307</v>
      </c>
      <c r="I7" s="623" t="s">
        <v>308</v>
      </c>
    </row>
    <row r="8" spans="1:9" x14ac:dyDescent="0.2">
      <c r="A8" s="917"/>
      <c r="B8" s="643" t="s">
        <v>13</v>
      </c>
      <c r="C8" s="651" t="s">
        <v>302</v>
      </c>
      <c r="D8" s="651" t="s">
        <v>302</v>
      </c>
      <c r="E8" s="651" t="s">
        <v>302</v>
      </c>
      <c r="F8" s="651" t="s">
        <v>302</v>
      </c>
      <c r="G8" s="651" t="s">
        <v>307</v>
      </c>
      <c r="H8" s="651" t="s">
        <v>308</v>
      </c>
      <c r="I8" s="623" t="s">
        <v>307</v>
      </c>
    </row>
    <row r="9" spans="1:9" x14ac:dyDescent="0.2">
      <c r="A9" s="917"/>
      <c r="B9" s="643" t="s">
        <v>303</v>
      </c>
      <c r="C9" s="651" t="s">
        <v>302</v>
      </c>
      <c r="D9" s="651" t="s">
        <v>302</v>
      </c>
      <c r="E9" s="651" t="s">
        <v>302</v>
      </c>
      <c r="F9" s="651"/>
      <c r="G9" s="651" t="s">
        <v>308</v>
      </c>
      <c r="H9" s="651" t="s">
        <v>307</v>
      </c>
      <c r="I9" s="623" t="s">
        <v>307</v>
      </c>
    </row>
    <row r="10" spans="1:9" x14ac:dyDescent="0.2">
      <c r="A10" s="917"/>
      <c r="B10" s="643" t="s">
        <v>304</v>
      </c>
      <c r="C10" s="651" t="s">
        <v>302</v>
      </c>
      <c r="D10" s="651" t="s">
        <v>302</v>
      </c>
      <c r="E10" s="651" t="s">
        <v>302</v>
      </c>
      <c r="F10" s="651" t="s">
        <v>302</v>
      </c>
      <c r="G10" s="651" t="s">
        <v>307</v>
      </c>
      <c r="H10" s="651" t="s">
        <v>307</v>
      </c>
      <c r="I10" s="623" t="s">
        <v>307</v>
      </c>
    </row>
    <row r="11" spans="1:9" x14ac:dyDescent="0.2">
      <c r="A11" s="917"/>
      <c r="B11" s="941" t="s">
        <v>342</v>
      </c>
      <c r="C11" s="936"/>
      <c r="D11" s="936"/>
      <c r="E11" s="936"/>
      <c r="F11" s="936" t="s">
        <v>310</v>
      </c>
      <c r="G11" s="928" t="s">
        <v>307</v>
      </c>
      <c r="H11" s="928" t="s">
        <v>307</v>
      </c>
      <c r="I11" s="930" t="s">
        <v>307</v>
      </c>
    </row>
    <row r="12" spans="1:9" x14ac:dyDescent="0.2">
      <c r="A12" s="917"/>
      <c r="B12" s="941"/>
      <c r="C12" s="936"/>
      <c r="D12" s="936"/>
      <c r="E12" s="936"/>
      <c r="F12" s="936"/>
      <c r="G12" s="929"/>
      <c r="H12" s="929"/>
      <c r="I12" s="931"/>
    </row>
    <row r="13" spans="1:9" x14ac:dyDescent="0.2">
      <c r="A13" s="917"/>
      <c r="B13" s="650" t="s">
        <v>348</v>
      </c>
      <c r="C13" s="651" t="s">
        <v>310</v>
      </c>
      <c r="D13" s="651" t="s">
        <v>310</v>
      </c>
      <c r="E13" s="651" t="s">
        <v>310</v>
      </c>
      <c r="F13" s="651" t="s">
        <v>310</v>
      </c>
      <c r="G13" s="653" t="s">
        <v>307</v>
      </c>
      <c r="H13" s="653" t="s">
        <v>307</v>
      </c>
      <c r="I13" s="654" t="s">
        <v>307</v>
      </c>
    </row>
    <row r="14" spans="1:9" x14ac:dyDescent="0.2">
      <c r="A14" s="917"/>
      <c r="B14" s="643" t="s">
        <v>313</v>
      </c>
      <c r="C14" s="651" t="s">
        <v>302</v>
      </c>
      <c r="D14" s="651" t="s">
        <v>302</v>
      </c>
      <c r="E14" s="651" t="s">
        <v>302</v>
      </c>
      <c r="F14" s="651" t="s">
        <v>302</v>
      </c>
      <c r="G14" s="651" t="s">
        <v>307</v>
      </c>
      <c r="H14" s="651" t="s">
        <v>308</v>
      </c>
      <c r="I14" s="623" t="s">
        <v>307</v>
      </c>
    </row>
    <row r="15" spans="1:9" x14ac:dyDescent="0.2">
      <c r="A15" s="917"/>
      <c r="B15" s="934" t="s">
        <v>370</v>
      </c>
      <c r="C15" s="935" t="s">
        <v>302</v>
      </c>
      <c r="D15" s="936" t="s">
        <v>302</v>
      </c>
      <c r="E15" s="936" t="s">
        <v>302</v>
      </c>
      <c r="F15" s="935" t="s">
        <v>302</v>
      </c>
      <c r="G15" s="928" t="s">
        <v>308</v>
      </c>
      <c r="H15" s="928" t="s">
        <v>308</v>
      </c>
      <c r="I15" s="930" t="s">
        <v>307</v>
      </c>
    </row>
    <row r="16" spans="1:9" x14ac:dyDescent="0.2">
      <c r="A16" s="917"/>
      <c r="B16" s="934"/>
      <c r="C16" s="935"/>
      <c r="D16" s="936"/>
      <c r="E16" s="936"/>
      <c r="F16" s="935"/>
      <c r="G16" s="929"/>
      <c r="H16" s="929"/>
      <c r="I16" s="931"/>
    </row>
    <row r="17" spans="1:9" ht="42" x14ac:dyDescent="0.2">
      <c r="A17" s="917"/>
      <c r="B17" s="643" t="s">
        <v>327</v>
      </c>
      <c r="C17" s="651" t="s">
        <v>302</v>
      </c>
      <c r="D17" s="651" t="s">
        <v>302</v>
      </c>
      <c r="E17" s="651" t="s">
        <v>302</v>
      </c>
      <c r="F17" s="651" t="s">
        <v>302</v>
      </c>
      <c r="G17" s="888" t="s">
        <v>449</v>
      </c>
      <c r="H17" s="651" t="s">
        <v>308</v>
      </c>
      <c r="I17" s="623" t="s">
        <v>307</v>
      </c>
    </row>
    <row r="18" spans="1:9" x14ac:dyDescent="0.2">
      <c r="A18" s="917"/>
      <c r="B18" s="643" t="s">
        <v>70</v>
      </c>
      <c r="C18" s="651" t="s">
        <v>302</v>
      </c>
      <c r="D18" s="651" t="s">
        <v>302</v>
      </c>
      <c r="E18" s="651" t="s">
        <v>302</v>
      </c>
      <c r="F18" s="651" t="s">
        <v>302</v>
      </c>
      <c r="G18" s="651" t="s">
        <v>308</v>
      </c>
      <c r="H18" s="652" t="s">
        <v>308</v>
      </c>
      <c r="I18" s="623" t="s">
        <v>308</v>
      </c>
    </row>
    <row r="19" spans="1:9" x14ac:dyDescent="0.2">
      <c r="A19" s="917"/>
      <c r="B19" s="643" t="s">
        <v>309</v>
      </c>
      <c r="C19" s="651" t="s">
        <v>302</v>
      </c>
      <c r="D19" s="651" t="s">
        <v>302</v>
      </c>
      <c r="E19" s="651" t="s">
        <v>302</v>
      </c>
      <c r="F19" s="651" t="s">
        <v>302</v>
      </c>
      <c r="G19" s="651" t="s">
        <v>307</v>
      </c>
      <c r="H19" s="932" t="s">
        <v>331</v>
      </c>
      <c r="I19" s="623" t="s">
        <v>307</v>
      </c>
    </row>
    <row r="20" spans="1:9" ht="16" thickBot="1" x14ac:dyDescent="0.25">
      <c r="A20" s="917"/>
      <c r="B20" s="644" t="s">
        <v>306</v>
      </c>
      <c r="C20" s="624" t="s">
        <v>302</v>
      </c>
      <c r="D20" s="624" t="s">
        <v>302</v>
      </c>
      <c r="E20" s="624" t="s">
        <v>302</v>
      </c>
      <c r="F20" s="624" t="s">
        <v>302</v>
      </c>
      <c r="G20" s="624" t="s">
        <v>307</v>
      </c>
      <c r="H20" s="933"/>
      <c r="I20" s="625" t="s">
        <v>307</v>
      </c>
    </row>
    <row r="21" spans="1:9" x14ac:dyDescent="0.2">
      <c r="A21" s="917"/>
      <c r="B21" s="645" t="s">
        <v>278</v>
      </c>
      <c r="C21" s="635"/>
      <c r="D21" s="635"/>
      <c r="E21" s="636"/>
      <c r="F21" s="636"/>
      <c r="G21" s="637"/>
      <c r="H21" s="637"/>
      <c r="I21" s="638"/>
    </row>
    <row r="22" spans="1:9" x14ac:dyDescent="0.2">
      <c r="A22" s="917"/>
      <c r="B22" s="655" t="s">
        <v>279</v>
      </c>
      <c r="C22" s="655"/>
      <c r="D22" s="655"/>
      <c r="E22" s="656"/>
      <c r="F22" s="656"/>
      <c r="G22" s="61"/>
      <c r="H22" s="61"/>
      <c r="I22" s="639"/>
    </row>
    <row r="23" spans="1:9" x14ac:dyDescent="0.2">
      <c r="A23" s="917"/>
      <c r="B23" s="655" t="s">
        <v>372</v>
      </c>
      <c r="C23" s="655"/>
      <c r="D23" s="655"/>
      <c r="E23" s="656"/>
      <c r="F23" s="656"/>
      <c r="G23" s="61"/>
      <c r="H23" s="61"/>
      <c r="I23" s="639"/>
    </row>
    <row r="24" spans="1:9" x14ac:dyDescent="0.2">
      <c r="A24" s="917"/>
      <c r="B24" s="685" t="s">
        <v>371</v>
      </c>
      <c r="C24" s="685"/>
      <c r="D24" s="685"/>
      <c r="E24" s="686"/>
      <c r="F24" s="686"/>
      <c r="G24" s="61"/>
      <c r="H24" s="61"/>
      <c r="I24" s="639"/>
    </row>
    <row r="25" spans="1:9" x14ac:dyDescent="0.2">
      <c r="A25" s="917"/>
      <c r="B25" s="926" t="s">
        <v>315</v>
      </c>
      <c r="C25" s="926"/>
      <c r="D25" s="926"/>
      <c r="E25" s="926"/>
      <c r="F25" s="926"/>
      <c r="G25" s="926"/>
      <c r="H25" s="926"/>
      <c r="I25" s="927"/>
    </row>
    <row r="26" spans="1:9" x14ac:dyDescent="0.2">
      <c r="A26" s="917"/>
      <c r="B26" s="926"/>
      <c r="C26" s="926"/>
      <c r="D26" s="926"/>
      <c r="E26" s="926"/>
      <c r="F26" s="926"/>
      <c r="G26" s="926"/>
      <c r="H26" s="926"/>
      <c r="I26" s="927"/>
    </row>
    <row r="27" spans="1:9" ht="16" thickBot="1" x14ac:dyDescent="0.25">
      <c r="A27" s="918"/>
      <c r="B27" s="640"/>
      <c r="C27" s="640"/>
      <c r="D27" s="640"/>
      <c r="E27" s="640"/>
      <c r="F27" s="640"/>
      <c r="G27" s="640"/>
      <c r="H27" s="640"/>
      <c r="I27" s="641"/>
    </row>
    <row r="28" spans="1:9" x14ac:dyDescent="0.2">
      <c r="B28" s="628"/>
      <c r="C28" s="628"/>
      <c r="D28" s="628"/>
      <c r="E28" s="628"/>
      <c r="F28" s="628"/>
      <c r="G28" s="628"/>
      <c r="H28" s="628"/>
      <c r="I28" s="628"/>
    </row>
    <row r="29" spans="1:9" ht="16" thickBot="1" x14ac:dyDescent="0.25">
      <c r="B29" s="613"/>
      <c r="C29" s="613"/>
      <c r="D29" s="613"/>
      <c r="E29" s="85"/>
      <c r="F29" s="617"/>
      <c r="G29" s="618"/>
      <c r="H29" s="618"/>
      <c r="I29" s="618"/>
    </row>
    <row r="30" spans="1:9" ht="22" customHeight="1" thickBot="1" x14ac:dyDescent="0.3">
      <c r="A30" s="916" t="s">
        <v>322</v>
      </c>
      <c r="B30" s="914" t="s">
        <v>316</v>
      </c>
      <c r="C30" s="914"/>
      <c r="D30" s="914"/>
      <c r="E30" s="914"/>
      <c r="F30" s="914"/>
      <c r="G30" s="914"/>
      <c r="H30" s="914"/>
      <c r="I30" s="915"/>
    </row>
    <row r="31" spans="1:9" ht="37" customHeight="1" thickBot="1" x14ac:dyDescent="0.25">
      <c r="A31" s="917"/>
      <c r="B31" s="911" t="s">
        <v>324</v>
      </c>
      <c r="C31" s="912"/>
      <c r="D31" s="912"/>
      <c r="E31" s="912"/>
      <c r="F31" s="912"/>
      <c r="G31" s="912"/>
      <c r="H31" s="912"/>
      <c r="I31" s="913"/>
    </row>
    <row r="32" spans="1:9" ht="17" thickBot="1" x14ac:dyDescent="0.25">
      <c r="A32" s="917"/>
      <c r="B32" s="629" t="s">
        <v>334</v>
      </c>
      <c r="C32" s="629"/>
      <c r="D32" s="629"/>
      <c r="E32" s="629"/>
      <c r="F32" s="629"/>
      <c r="G32" s="960" t="s">
        <v>59</v>
      </c>
      <c r="H32" s="961"/>
      <c r="I32" s="962"/>
    </row>
    <row r="33" spans="1:11" x14ac:dyDescent="0.2">
      <c r="A33" s="917"/>
      <c r="B33" s="630" t="s">
        <v>282</v>
      </c>
      <c r="C33" s="630"/>
      <c r="D33" s="630"/>
      <c r="E33" s="630"/>
      <c r="F33" s="630"/>
      <c r="G33" s="957" t="s">
        <v>328</v>
      </c>
      <c r="H33" s="958"/>
      <c r="I33" s="959"/>
    </row>
    <row r="34" spans="1:11" x14ac:dyDescent="0.2">
      <c r="A34" s="917"/>
      <c r="B34" s="631" t="s">
        <v>349</v>
      </c>
      <c r="C34" s="631"/>
      <c r="D34" s="631"/>
      <c r="E34" s="631"/>
      <c r="F34" s="631"/>
      <c r="G34" s="948" t="s">
        <v>329</v>
      </c>
      <c r="H34" s="949"/>
      <c r="I34" s="950"/>
    </row>
    <row r="35" spans="1:11" ht="16" thickBot="1" x14ac:dyDescent="0.25">
      <c r="A35" s="917"/>
      <c r="B35" s="632" t="s">
        <v>350</v>
      </c>
      <c r="C35" s="632"/>
      <c r="D35" s="632"/>
      <c r="E35" s="632"/>
      <c r="F35" s="632"/>
      <c r="G35" s="951">
        <v>48</v>
      </c>
      <c r="H35" s="952"/>
      <c r="I35" s="953"/>
    </row>
    <row r="36" spans="1:11" ht="16" thickBot="1" x14ac:dyDescent="0.25">
      <c r="A36" s="917"/>
      <c r="B36" s="919"/>
      <c r="C36" s="920"/>
      <c r="D36" s="920"/>
      <c r="E36" s="920"/>
      <c r="F36" s="920"/>
      <c r="G36" s="920"/>
      <c r="H36" s="920"/>
      <c r="I36" s="921"/>
      <c r="J36" s="646"/>
      <c r="K36" s="646"/>
    </row>
    <row r="37" spans="1:11" ht="17" thickBot="1" x14ac:dyDescent="0.25">
      <c r="A37" s="917"/>
      <c r="B37" s="629" t="s">
        <v>333</v>
      </c>
      <c r="C37" s="629"/>
      <c r="D37" s="629"/>
      <c r="E37" s="629"/>
      <c r="F37" s="629"/>
      <c r="G37" s="954" t="s">
        <v>59</v>
      </c>
      <c r="H37" s="955"/>
      <c r="I37" s="956"/>
    </row>
    <row r="38" spans="1:11" x14ac:dyDescent="0.2">
      <c r="A38" s="917"/>
      <c r="B38" s="633" t="s">
        <v>283</v>
      </c>
      <c r="C38" s="633"/>
      <c r="D38" s="633"/>
      <c r="E38" s="633"/>
      <c r="F38" s="633"/>
      <c r="G38" s="957" t="s">
        <v>287</v>
      </c>
      <c r="H38" s="958"/>
      <c r="I38" s="959"/>
    </row>
    <row r="39" spans="1:11" x14ac:dyDescent="0.2">
      <c r="A39" s="917"/>
      <c r="B39" s="631" t="s">
        <v>284</v>
      </c>
      <c r="C39" s="631"/>
      <c r="D39" s="631"/>
      <c r="E39" s="631"/>
      <c r="F39" s="631"/>
      <c r="G39" s="948" t="s">
        <v>288</v>
      </c>
      <c r="H39" s="949"/>
      <c r="I39" s="950"/>
    </row>
    <row r="40" spans="1:11" x14ac:dyDescent="0.2">
      <c r="A40" s="917"/>
      <c r="B40" s="631" t="s">
        <v>285</v>
      </c>
      <c r="C40" s="631"/>
      <c r="D40" s="631"/>
      <c r="E40" s="631"/>
      <c r="F40" s="631"/>
      <c r="G40" s="948" t="s">
        <v>289</v>
      </c>
      <c r="H40" s="949"/>
      <c r="I40" s="950"/>
    </row>
    <row r="41" spans="1:11" ht="16" thickBot="1" x14ac:dyDescent="0.25">
      <c r="A41" s="917"/>
      <c r="B41" s="632" t="s">
        <v>286</v>
      </c>
      <c r="C41" s="632"/>
      <c r="D41" s="632"/>
      <c r="E41" s="632"/>
      <c r="F41" s="632"/>
      <c r="G41" s="951" t="s">
        <v>290</v>
      </c>
      <c r="H41" s="952"/>
      <c r="I41" s="953"/>
    </row>
    <row r="42" spans="1:11" ht="16" thickBot="1" x14ac:dyDescent="0.25">
      <c r="A42" s="917"/>
      <c r="B42" s="919"/>
      <c r="C42" s="920"/>
      <c r="D42" s="920"/>
      <c r="E42" s="920"/>
      <c r="F42" s="920"/>
      <c r="G42" s="920"/>
      <c r="H42" s="920"/>
      <c r="I42" s="921"/>
      <c r="J42" s="646"/>
      <c r="K42" s="646"/>
    </row>
    <row r="43" spans="1:11" ht="16" x14ac:dyDescent="0.2">
      <c r="A43" s="917"/>
      <c r="B43" s="615" t="s">
        <v>335</v>
      </c>
      <c r="C43" s="615"/>
      <c r="D43" s="615"/>
      <c r="E43" s="615"/>
      <c r="F43" s="615"/>
      <c r="G43" s="942" t="s">
        <v>294</v>
      </c>
      <c r="H43" s="943"/>
      <c r="I43" s="944"/>
    </row>
    <row r="44" spans="1:11" x14ac:dyDescent="0.2">
      <c r="A44" s="917"/>
      <c r="B44" s="616" t="s">
        <v>336</v>
      </c>
      <c r="C44" s="616"/>
      <c r="D44" s="616"/>
      <c r="E44" s="616"/>
      <c r="F44" s="616"/>
      <c r="G44" s="945"/>
      <c r="H44" s="946"/>
      <c r="I44" s="947"/>
    </row>
    <row r="45" spans="1:11" x14ac:dyDescent="0.2">
      <c r="A45" s="917"/>
      <c r="B45" s="634" t="s">
        <v>291</v>
      </c>
      <c r="C45" s="634"/>
      <c r="D45" s="634"/>
      <c r="E45" s="634"/>
      <c r="F45" s="634"/>
      <c r="G45" s="948" t="s">
        <v>292</v>
      </c>
      <c r="H45" s="949"/>
      <c r="I45" s="950"/>
    </row>
    <row r="46" spans="1:11" ht="16" thickBot="1" x14ac:dyDescent="0.25">
      <c r="A46" s="918"/>
      <c r="B46" s="311" t="s">
        <v>337</v>
      </c>
      <c r="C46" s="311"/>
      <c r="D46" s="311"/>
      <c r="E46" s="311"/>
      <c r="F46" s="311"/>
      <c r="G46" s="951" t="s">
        <v>293</v>
      </c>
      <c r="H46" s="952"/>
      <c r="I46" s="953"/>
    </row>
  </sheetData>
  <sheetProtection sheet="1" objects="1" scenarios="1"/>
  <mergeCells count="41">
    <mergeCell ref="G35:I35"/>
    <mergeCell ref="G37:I37"/>
    <mergeCell ref="G38:I38"/>
    <mergeCell ref="G32:I32"/>
    <mergeCell ref="G33:I33"/>
    <mergeCell ref="G34:I34"/>
    <mergeCell ref="G43:I44"/>
    <mergeCell ref="G45:I45"/>
    <mergeCell ref="G46:I46"/>
    <mergeCell ref="G39:I39"/>
    <mergeCell ref="G40:I40"/>
    <mergeCell ref="G41:I41"/>
    <mergeCell ref="B11:B12"/>
    <mergeCell ref="C11:C12"/>
    <mergeCell ref="D11:D12"/>
    <mergeCell ref="E11:E12"/>
    <mergeCell ref="F11:F12"/>
    <mergeCell ref="E15:E16"/>
    <mergeCell ref="F15:F16"/>
    <mergeCell ref="G4:G5"/>
    <mergeCell ref="H4:H5"/>
    <mergeCell ref="I4:I5"/>
    <mergeCell ref="G11:G12"/>
    <mergeCell ref="H11:H12"/>
    <mergeCell ref="I11:I12"/>
    <mergeCell ref="B3:I3"/>
    <mergeCell ref="B31:I31"/>
    <mergeCell ref="B30:I30"/>
    <mergeCell ref="A1:A27"/>
    <mergeCell ref="A30:A46"/>
    <mergeCell ref="B36:I36"/>
    <mergeCell ref="B42:I42"/>
    <mergeCell ref="B1:I2"/>
    <mergeCell ref="B25:I26"/>
    <mergeCell ref="G15:G16"/>
    <mergeCell ref="H15:H16"/>
    <mergeCell ref="I15:I16"/>
    <mergeCell ref="H19:H20"/>
    <mergeCell ref="B15:B16"/>
    <mergeCell ref="C15:C16"/>
    <mergeCell ref="D15:D16"/>
  </mergeCells>
  <phoneticPr fontId="6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8"/>
  <sheetViews>
    <sheetView view="pageBreakPreview" zoomScaleSheetLayoutView="125" workbookViewId="0">
      <selection activeCell="C78" sqref="C78"/>
    </sheetView>
  </sheetViews>
  <sheetFormatPr baseColWidth="10" defaultColWidth="8.83203125" defaultRowHeight="14" x14ac:dyDescent="0.15"/>
  <cols>
    <col min="1" max="9" width="13.33203125" style="2" customWidth="1"/>
    <col min="10" max="10" width="9.33203125" style="2" bestFit="1" customWidth="1"/>
    <col min="11" max="16384" width="8.83203125" style="2"/>
  </cols>
  <sheetData>
    <row r="1" spans="1:22" ht="23" customHeight="1" x14ac:dyDescent="0.2">
      <c r="A1" s="1057" t="s">
        <v>20</v>
      </c>
      <c r="B1" s="1058"/>
      <c r="C1" s="1058"/>
      <c r="D1" s="1058"/>
      <c r="E1" s="1058"/>
      <c r="F1" s="1058"/>
      <c r="G1" s="1058"/>
      <c r="H1" s="1058"/>
      <c r="I1" s="1059"/>
      <c r="J1" s="44"/>
    </row>
    <row r="2" spans="1:22" ht="23" customHeight="1" x14ac:dyDescent="0.2">
      <c r="A2" s="1072" t="s">
        <v>6</v>
      </c>
      <c r="B2" s="1073"/>
      <c r="C2" s="1073"/>
      <c r="D2" s="1073"/>
      <c r="E2" s="1073"/>
      <c r="F2" s="1073"/>
      <c r="G2" s="1073"/>
      <c r="H2" s="1073"/>
      <c r="I2" s="1074"/>
    </row>
    <row r="3" spans="1:22" ht="24" customHeight="1" thickBot="1" x14ac:dyDescent="0.25">
      <c r="A3" s="1088" t="str">
        <f>'Forside 1'!A6:I6</f>
        <v>Gældende for perioden: 1. april 2017 til 30. november 2017</v>
      </c>
      <c r="B3" s="1089"/>
      <c r="C3" s="1089"/>
      <c r="D3" s="1089"/>
      <c r="E3" s="1089"/>
      <c r="F3" s="1089"/>
      <c r="G3" s="1089"/>
      <c r="H3" s="1089"/>
      <c r="I3" s="1090"/>
      <c r="N3" s="84"/>
      <c r="O3" s="84"/>
      <c r="P3" s="84"/>
      <c r="Q3" s="84"/>
      <c r="R3" s="84"/>
      <c r="S3" s="84"/>
      <c r="T3" s="84"/>
      <c r="U3" s="84"/>
      <c r="V3" s="84"/>
    </row>
    <row r="4" spans="1:22" ht="20" customHeight="1" thickBot="1" x14ac:dyDescent="0.25">
      <c r="A4" s="46"/>
      <c r="B4" s="46"/>
      <c r="C4" s="46"/>
      <c r="D4" s="46"/>
      <c r="E4" s="46"/>
      <c r="F4" s="46"/>
      <c r="G4" s="46"/>
      <c r="H4" s="46"/>
      <c r="I4" s="46"/>
      <c r="N4" s="1087"/>
      <c r="O4" s="1087"/>
      <c r="P4" s="1087"/>
      <c r="Q4" s="1087"/>
      <c r="R4" s="1087"/>
      <c r="S4" s="1087"/>
      <c r="T4" s="1087"/>
      <c r="U4" s="1087"/>
      <c r="V4" s="1087"/>
    </row>
    <row r="5" spans="1:22" ht="20" customHeight="1" x14ac:dyDescent="0.2">
      <c r="A5" s="994" t="s">
        <v>374</v>
      </c>
      <c r="B5" s="995"/>
      <c r="C5" s="995"/>
      <c r="D5" s="995"/>
      <c r="E5" s="995"/>
      <c r="F5" s="995"/>
      <c r="G5" s="995"/>
      <c r="H5" s="996"/>
      <c r="I5" s="70"/>
      <c r="N5" s="84"/>
      <c r="O5" s="84"/>
      <c r="P5" s="84"/>
      <c r="Q5" s="84"/>
      <c r="R5" s="84"/>
      <c r="S5" s="84"/>
      <c r="T5" s="84"/>
      <c r="U5" s="84"/>
      <c r="V5" s="84"/>
    </row>
    <row r="6" spans="1:22" ht="20" customHeight="1" thickBot="1" x14ac:dyDescent="0.25">
      <c r="A6" s="1102" t="s">
        <v>394</v>
      </c>
      <c r="B6" s="1103"/>
      <c r="C6" s="1103"/>
      <c r="D6" s="1103"/>
      <c r="E6" s="1103"/>
      <c r="F6" s="1103"/>
      <c r="G6" s="1103"/>
      <c r="H6" s="1104"/>
      <c r="I6" s="70"/>
      <c r="N6" s="84"/>
      <c r="O6" s="84"/>
      <c r="P6" s="84"/>
      <c r="Q6" s="84"/>
      <c r="R6" s="84"/>
      <c r="S6" s="84"/>
      <c r="T6" s="84"/>
      <c r="U6" s="84"/>
      <c r="V6" s="84"/>
    </row>
    <row r="7" spans="1:22" ht="24" customHeight="1" thickBot="1" x14ac:dyDescent="0.2">
      <c r="A7" s="1096" t="s">
        <v>98</v>
      </c>
      <c r="B7" s="1093" t="s">
        <v>0</v>
      </c>
      <c r="C7" s="973" t="s">
        <v>4</v>
      </c>
      <c r="D7" s="973"/>
      <c r="E7" s="974"/>
      <c r="F7" s="1091" t="s">
        <v>5</v>
      </c>
      <c r="G7" s="1053"/>
      <c r="H7" s="1092"/>
      <c r="I7" s="71"/>
      <c r="J7" s="29"/>
    </row>
    <row r="8" spans="1:22" ht="28" x14ac:dyDescent="0.15">
      <c r="A8" s="1097"/>
      <c r="B8" s="1094"/>
      <c r="C8" s="410" t="s">
        <v>141</v>
      </c>
      <c r="D8" s="410" t="s">
        <v>435</v>
      </c>
      <c r="E8" s="410" t="s">
        <v>321</v>
      </c>
      <c r="F8" s="839" t="s">
        <v>141</v>
      </c>
      <c r="G8" s="839" t="s">
        <v>435</v>
      </c>
      <c r="H8" s="839" t="s">
        <v>321</v>
      </c>
      <c r="I8" s="58"/>
    </row>
    <row r="9" spans="1:22" ht="18" customHeight="1" thickBot="1" x14ac:dyDescent="0.2">
      <c r="A9" s="1098"/>
      <c r="B9" s="1095"/>
      <c r="C9" s="411">
        <v>40999</v>
      </c>
      <c r="D9" s="411" t="str">
        <f>'Løntabel gældende fra'!$D$1</f>
        <v>01/04/17</v>
      </c>
      <c r="E9" s="411" t="str">
        <f>'Løntabel gældende fra'!$D$1</f>
        <v>01/04/17</v>
      </c>
      <c r="F9" s="412">
        <v>40999</v>
      </c>
      <c r="G9" s="411" t="str">
        <f>'Løntabel gældende fra'!$D$1</f>
        <v>01/04/17</v>
      </c>
      <c r="H9" s="411" t="str">
        <f>'Løntabel gældende fra'!$D$1</f>
        <v>01/04/17</v>
      </c>
      <c r="I9" s="69"/>
    </row>
    <row r="10" spans="1:22" ht="15" customHeight="1" x14ac:dyDescent="0.15">
      <c r="A10" s="415" t="s">
        <v>1</v>
      </c>
      <c r="B10" s="416">
        <v>1</v>
      </c>
      <c r="C10" s="166">
        <v>279695</v>
      </c>
      <c r="D10" s="167">
        <f>C10+(C10*'Løntabel gældende fra'!$D$7%)</f>
        <v>291566.93397000001</v>
      </c>
      <c r="E10" s="167">
        <f>D10/12</f>
        <v>24297.2444975</v>
      </c>
      <c r="F10" s="166">
        <v>266588</v>
      </c>
      <c r="G10" s="168">
        <f>F10+(F10*'Løntabel gældende fra'!$D$7%)</f>
        <v>277903.59424800001</v>
      </c>
      <c r="H10" s="167">
        <f>G10/12</f>
        <v>23158.632853999999</v>
      </c>
      <c r="I10" s="10"/>
    </row>
    <row r="11" spans="1:22" ht="15" customHeight="1" x14ac:dyDescent="0.15">
      <c r="A11" s="417" t="s">
        <v>53</v>
      </c>
      <c r="B11" s="418">
        <v>2</v>
      </c>
      <c r="C11" s="169">
        <v>298044</v>
      </c>
      <c r="D11" s="170">
        <f>C11+(C11*'Løntabel gældende fra'!$D$7%)</f>
        <v>310694.775624</v>
      </c>
      <c r="E11" s="170">
        <f>D11/12</f>
        <v>25891.231302</v>
      </c>
      <c r="F11" s="169">
        <v>279695</v>
      </c>
      <c r="G11" s="171">
        <f>F11+(F11*'Løntabel gældende fra'!$D$7%)</f>
        <v>291566.93397000001</v>
      </c>
      <c r="H11" s="172">
        <f>G11/12</f>
        <v>24297.2444975</v>
      </c>
      <c r="I11" s="10"/>
    </row>
    <row r="12" spans="1:22" ht="15" customHeight="1" x14ac:dyDescent="0.15">
      <c r="A12" s="417" t="s">
        <v>2</v>
      </c>
      <c r="B12" s="418">
        <v>3</v>
      </c>
      <c r="C12" s="169">
        <v>325699</v>
      </c>
      <c r="D12" s="170">
        <f>C12+(C12*'Løntabel gældende fra'!$D$7%)</f>
        <v>339523.61975399998</v>
      </c>
      <c r="E12" s="170">
        <f>D12/12</f>
        <v>28293.634979499999</v>
      </c>
      <c r="F12" s="169">
        <v>290311</v>
      </c>
      <c r="G12" s="171">
        <f>F12+(F12*'Løntabel gældende fra'!$D$7%)</f>
        <v>302633.540706</v>
      </c>
      <c r="H12" s="172">
        <f>G12/12</f>
        <v>25219.461725500001</v>
      </c>
      <c r="I12" s="10"/>
    </row>
    <row r="13" spans="1:22" ht="15" customHeight="1" thickBot="1" x14ac:dyDescent="0.2">
      <c r="A13" s="419" t="s">
        <v>3</v>
      </c>
      <c r="B13" s="420">
        <v>4</v>
      </c>
      <c r="C13" s="174">
        <v>351388</v>
      </c>
      <c r="D13" s="175">
        <f>C13+(C13*'Løntabel gældende fra'!$D$7%)</f>
        <v>366303.01504800003</v>
      </c>
      <c r="E13" s="175">
        <f>D13/12</f>
        <v>30525.251254000003</v>
      </c>
      <c r="F13" s="174">
        <v>309054</v>
      </c>
      <c r="G13" s="176">
        <f>F13+(F13*'Løntabel gældende fra'!$D$7%)</f>
        <v>322172.10608400003</v>
      </c>
      <c r="H13" s="177">
        <f>G13/12</f>
        <v>26847.675507000004</v>
      </c>
      <c r="I13" s="10"/>
    </row>
    <row r="14" spans="1:22" ht="21" customHeight="1" thickBot="1" x14ac:dyDescent="0.2">
      <c r="A14" s="8"/>
      <c r="B14" s="8"/>
      <c r="C14" s="9"/>
      <c r="D14" s="8"/>
      <c r="E14" s="8"/>
      <c r="F14" s="9"/>
      <c r="G14" s="8"/>
      <c r="H14" s="8"/>
      <c r="I14" s="10"/>
    </row>
    <row r="15" spans="1:22" ht="20" customHeight="1" x14ac:dyDescent="0.2">
      <c r="A15" s="994" t="s">
        <v>375</v>
      </c>
      <c r="B15" s="995"/>
      <c r="C15" s="995"/>
      <c r="D15" s="995"/>
      <c r="E15" s="995"/>
      <c r="F15" s="995"/>
      <c r="G15" s="995"/>
      <c r="H15" s="996"/>
      <c r="I15" s="70"/>
    </row>
    <row r="16" spans="1:22" ht="20" customHeight="1" thickBot="1" x14ac:dyDescent="0.25">
      <c r="A16" s="1102" t="s">
        <v>379</v>
      </c>
      <c r="B16" s="1103"/>
      <c r="C16" s="1103"/>
      <c r="D16" s="1103"/>
      <c r="E16" s="1103"/>
      <c r="F16" s="1103"/>
      <c r="G16" s="1103"/>
      <c r="H16" s="1104"/>
      <c r="I16" s="70"/>
    </row>
    <row r="17" spans="1:9" ht="23" customHeight="1" thickBot="1" x14ac:dyDescent="0.2">
      <c r="A17" s="984" t="s">
        <v>11</v>
      </c>
      <c r="B17" s="985"/>
      <c r="C17" s="972" t="s">
        <v>4</v>
      </c>
      <c r="D17" s="973"/>
      <c r="E17" s="974"/>
      <c r="F17" s="1091" t="s">
        <v>5</v>
      </c>
      <c r="G17" s="1053"/>
      <c r="H17" s="1092"/>
      <c r="I17" s="71"/>
    </row>
    <row r="18" spans="1:9" x14ac:dyDescent="0.15">
      <c r="A18" s="1067"/>
      <c r="B18" s="1068"/>
      <c r="C18" s="980" t="s">
        <v>264</v>
      </c>
      <c r="D18" s="410" t="s">
        <v>102</v>
      </c>
      <c r="E18" s="410" t="s">
        <v>434</v>
      </c>
      <c r="F18" s="980" t="s">
        <v>264</v>
      </c>
      <c r="G18" s="410" t="s">
        <v>103</v>
      </c>
      <c r="H18" s="839" t="s">
        <v>434</v>
      </c>
      <c r="I18" s="11"/>
    </row>
    <row r="19" spans="1:9" ht="15" thickBot="1" x14ac:dyDescent="0.2">
      <c r="A19" s="1067"/>
      <c r="B19" s="1068"/>
      <c r="C19" s="1034"/>
      <c r="D19" s="413">
        <v>40999</v>
      </c>
      <c r="E19" s="414" t="str">
        <f>'Løntabel gældende fra'!$D$1</f>
        <v>01/04/17</v>
      </c>
      <c r="F19" s="1034"/>
      <c r="G19" s="413">
        <v>40999</v>
      </c>
      <c r="H19" s="414" t="str">
        <f>'Løntabel gældende fra'!$D$1</f>
        <v>01/04/17</v>
      </c>
      <c r="I19" s="72"/>
    </row>
    <row r="20" spans="1:9" ht="15" customHeight="1" x14ac:dyDescent="0.15">
      <c r="A20" s="1067"/>
      <c r="B20" s="1069"/>
      <c r="C20" s="178" t="s">
        <v>45</v>
      </c>
      <c r="D20" s="179">
        <v>16.38</v>
      </c>
      <c r="E20" s="170">
        <f>D20+(D20*'Løntabel gældende fra'!$D$7%)</f>
        <v>17.075265479999999</v>
      </c>
      <c r="F20" s="180" t="s">
        <v>49</v>
      </c>
      <c r="G20" s="181">
        <v>22.4054</v>
      </c>
      <c r="H20" s="170">
        <f>G20+(G20*'Løntabel gældende fra'!$D$7%)</f>
        <v>23.3564196084</v>
      </c>
      <c r="I20" s="53"/>
    </row>
    <row r="21" spans="1:9" ht="15" customHeight="1" x14ac:dyDescent="0.15">
      <c r="A21" s="1067"/>
      <c r="B21" s="1069"/>
      <c r="C21" s="182" t="s">
        <v>46</v>
      </c>
      <c r="D21" s="171">
        <v>98.3</v>
      </c>
      <c r="E21" s="170">
        <f>D21+(D21*'Løntabel gældende fra'!$D$7%)</f>
        <v>102.4724418</v>
      </c>
      <c r="F21" s="183" t="s">
        <v>50</v>
      </c>
      <c r="G21" s="184">
        <v>65.525400000000005</v>
      </c>
      <c r="H21" s="170">
        <f>G21+(G21*'Løntabel gældende fra'!$D$7%)</f>
        <v>68.306691128400004</v>
      </c>
      <c r="I21" s="53"/>
    </row>
    <row r="22" spans="1:9" ht="15" customHeight="1" x14ac:dyDescent="0.15">
      <c r="A22" s="1067"/>
      <c r="B22" s="1069"/>
      <c r="C22" s="182" t="s">
        <v>47</v>
      </c>
      <c r="D22" s="185">
        <v>131.07</v>
      </c>
      <c r="E22" s="170">
        <f>D22+(D22*'Løntabel gældende fra'!$D$7%)</f>
        <v>136.63339722000001</v>
      </c>
      <c r="F22" s="183" t="s">
        <v>51</v>
      </c>
      <c r="G22" s="184">
        <v>131.07</v>
      </c>
      <c r="H22" s="170">
        <f>G22+(G22*'Løntabel gældende fra'!$D$7%)</f>
        <v>136.63339722000001</v>
      </c>
      <c r="I22" s="53"/>
    </row>
    <row r="23" spans="1:9" ht="15" customHeight="1" thickBot="1" x14ac:dyDescent="0.2">
      <c r="A23" s="1070"/>
      <c r="B23" s="1071"/>
      <c r="C23" s="186" t="s">
        <v>48</v>
      </c>
      <c r="D23" s="187">
        <v>163.83000000000001</v>
      </c>
      <c r="E23" s="175">
        <f>D23+(D23*'Løntabel gældende fra'!$D$7%)</f>
        <v>170.78392818</v>
      </c>
      <c r="F23" s="188" t="s">
        <v>52</v>
      </c>
      <c r="G23" s="189">
        <v>163.82830000000001</v>
      </c>
      <c r="H23" s="175">
        <f>G23+(G23*'Løntabel gældende fra'!$D$7%)</f>
        <v>170.78215602180001</v>
      </c>
      <c r="I23" s="53"/>
    </row>
    <row r="24" spans="1:9" s="141" customFormat="1" ht="21" customHeight="1" thickBot="1" x14ac:dyDescent="0.2">
      <c r="A24" s="137"/>
      <c r="B24" s="137"/>
      <c r="C24" s="138"/>
      <c r="D24" s="139"/>
      <c r="E24" s="139"/>
      <c r="F24" s="138"/>
      <c r="G24" s="139"/>
      <c r="H24" s="139"/>
      <c r="I24" s="140"/>
    </row>
    <row r="25" spans="1:9" ht="20" customHeight="1" x14ac:dyDescent="0.15">
      <c r="A25" s="1011" t="s">
        <v>276</v>
      </c>
      <c r="B25" s="1085"/>
      <c r="C25" s="1085"/>
      <c r="D25" s="1085"/>
      <c r="E25" s="1085"/>
      <c r="F25" s="1085"/>
      <c r="G25" s="1085"/>
      <c r="H25" s="1085"/>
      <c r="I25" s="1086"/>
    </row>
    <row r="26" spans="1:9" ht="20" customHeight="1" thickBot="1" x14ac:dyDescent="0.2">
      <c r="A26" s="1112" t="str">
        <f>"Indtast det årlige timetal i de gule felter. Arket beregner derefter det månedlige undervisningstillæg pr. "&amp;'Løntabel gældende fra'!D1&amp;""</f>
        <v>Indtast det årlige timetal i de gule felter. Arket beregner derefter det månedlige undervisningstillæg pr. 01/04/17</v>
      </c>
      <c r="B26" s="1113"/>
      <c r="C26" s="1113"/>
      <c r="D26" s="1113"/>
      <c r="E26" s="1113"/>
      <c r="F26" s="1113"/>
      <c r="G26" s="1113"/>
      <c r="H26" s="1113"/>
      <c r="I26" s="1114"/>
    </row>
    <row r="27" spans="1:9" ht="24" customHeight="1" x14ac:dyDescent="0.15">
      <c r="A27" s="1065"/>
      <c r="B27" s="1066"/>
      <c r="C27" s="1061" t="s">
        <v>4</v>
      </c>
      <c r="D27" s="1061"/>
      <c r="E27" s="1062"/>
      <c r="F27" s="1060" t="s">
        <v>5</v>
      </c>
      <c r="G27" s="1061"/>
      <c r="H27" s="1061"/>
      <c r="I27" s="1062"/>
    </row>
    <row r="28" spans="1:9" ht="20" customHeight="1" x14ac:dyDescent="0.15">
      <c r="A28" s="1077" t="s">
        <v>12</v>
      </c>
      <c r="B28" s="1078"/>
      <c r="C28" s="1079"/>
      <c r="D28" s="1080"/>
      <c r="E28" s="1081"/>
      <c r="F28" s="1079"/>
      <c r="G28" s="1080"/>
      <c r="H28" s="1080"/>
      <c r="I28" s="1081"/>
    </row>
    <row r="29" spans="1:9" ht="26" customHeight="1" thickBot="1" x14ac:dyDescent="0.2">
      <c r="A29" s="1075" t="str">
        <f>"Mdr. undervisningstillæg pr. "&amp;'Løntabel gældende fra'!D1&amp;""</f>
        <v>Mdr. undervisningstillæg pr. 01/04/17</v>
      </c>
      <c r="B29" s="1076"/>
      <c r="C29" s="1082">
        <f>IF(C28&lt;650,C28*E20,IF(AND(C28&gt;=650,C28&lt;700),650*E20+(C28-650)*E21,IF(AND(C28&gt;=700,C28&lt;750),650*E20+50*E21+(C28-700)*E22,IF(C28&gt;=750,650*E20+50*E21+50*E22+(C28-750)*E23,))))/12</f>
        <v>0</v>
      </c>
      <c r="D29" s="1083" t="e">
        <f t="shared" ref="D29:H29" si="0">IF(D28&lt;750,D28*F20,IF(AND(D28&gt;=750,D28&lt;800),750*F20+(D28-750)*F21,IF(AND(D28&gt;=800,D28&lt;835),750*F20+50*F21+(D28-800)*F22,IF(D28&gt;=835,750*F20+50*F21+35*F22+(D28-835)*F23,))))</f>
        <v>#VALUE!</v>
      </c>
      <c r="E29" s="1084">
        <f t="shared" si="0"/>
        <v>0</v>
      </c>
      <c r="F29" s="1082">
        <f>IF(F28&lt;750,F28*H20,IF(AND(F28&gt;=750,F28&lt;800),750*H20+(F28-750)*H21,IF(AND(F28&gt;=800,F28&lt;835),750*H20+50*H21+(F28-800)*H22,IF(F28&gt;=835,750*H20+50*H21+35*H22+(F28-835)*H23,))))/12</f>
        <v>0</v>
      </c>
      <c r="G29" s="1083">
        <f t="shared" si="0"/>
        <v>0</v>
      </c>
      <c r="H29" s="1083">
        <f t="shared" si="0"/>
        <v>0</v>
      </c>
      <c r="I29" s="1084" t="e">
        <f>IF(I28&lt;750,I28*#REF!,IF(AND(I28&gt;=750,I28&lt;800),750*#REF!+(I28-750)*#REF!,IF(AND(I28&gt;=800,I28&lt;835),750*#REF!+50*#REF!+(I28-800)*#REF!,IF(I28&gt;=835,750*#REF!+50*#REF!+35*#REF!+(I28-835)*#REF!,))))</f>
        <v>#REF!</v>
      </c>
    </row>
    <row r="30" spans="1:9" ht="20" customHeight="1" thickBot="1" x14ac:dyDescent="0.2">
      <c r="A30" s="59"/>
      <c r="B30" s="59"/>
      <c r="C30" s="8"/>
      <c r="D30" s="8"/>
      <c r="E30" s="8"/>
      <c r="F30" s="8"/>
      <c r="G30" s="8"/>
      <c r="H30" s="8"/>
      <c r="I30" s="8"/>
    </row>
    <row r="31" spans="1:9" ht="20" customHeight="1" x14ac:dyDescent="0.2">
      <c r="A31" s="1099" t="s">
        <v>376</v>
      </c>
      <c r="B31" s="1100"/>
      <c r="C31" s="1100"/>
      <c r="D31" s="1100"/>
      <c r="E31" s="1100"/>
      <c r="F31" s="1100"/>
      <c r="G31" s="1100"/>
      <c r="H31" s="1100"/>
      <c r="I31" s="1101"/>
    </row>
    <row r="32" spans="1:9" ht="20" customHeight="1" x14ac:dyDescent="0.2">
      <c r="A32" s="1105" t="s">
        <v>277</v>
      </c>
      <c r="B32" s="1106"/>
      <c r="C32" s="1106"/>
      <c r="D32" s="1106"/>
      <c r="E32" s="1106"/>
      <c r="F32" s="1106"/>
      <c r="G32" s="1106"/>
      <c r="H32" s="1106"/>
      <c r="I32" s="1107"/>
    </row>
    <row r="33" spans="1:9" ht="20" customHeight="1" thickBot="1" x14ac:dyDescent="0.25">
      <c r="A33" s="1118" t="s">
        <v>395</v>
      </c>
      <c r="B33" s="1119"/>
      <c r="C33" s="1119"/>
      <c r="D33" s="1119"/>
      <c r="E33" s="1119"/>
      <c r="F33" s="1119"/>
      <c r="G33" s="1119"/>
      <c r="H33" s="1119"/>
      <c r="I33" s="1120"/>
    </row>
    <row r="34" spans="1:9" ht="24" customHeight="1" thickBot="1" x14ac:dyDescent="0.2">
      <c r="A34" s="981" t="s">
        <v>106</v>
      </c>
      <c r="B34" s="1042" t="s">
        <v>4</v>
      </c>
      <c r="C34" s="1042"/>
      <c r="D34" s="1042"/>
      <c r="E34" s="1043"/>
      <c r="F34" s="1131" t="s">
        <v>5</v>
      </c>
      <c r="G34" s="1042"/>
      <c r="H34" s="1042"/>
      <c r="I34" s="1043"/>
    </row>
    <row r="35" spans="1:9" ht="24" customHeight="1" thickBot="1" x14ac:dyDescent="0.2">
      <c r="A35" s="1034"/>
      <c r="B35" s="528" t="s">
        <v>7</v>
      </c>
      <c r="C35" s="529" t="s">
        <v>8</v>
      </c>
      <c r="D35" s="528" t="s">
        <v>10</v>
      </c>
      <c r="E35" s="530" t="s">
        <v>9</v>
      </c>
      <c r="F35" s="531" t="s">
        <v>7</v>
      </c>
      <c r="G35" s="532" t="s">
        <v>8</v>
      </c>
      <c r="H35" s="457" t="s">
        <v>10</v>
      </c>
      <c r="I35" s="533" t="s">
        <v>9</v>
      </c>
    </row>
    <row r="36" spans="1:9" ht="15" customHeight="1" x14ac:dyDescent="0.15">
      <c r="A36" s="421">
        <v>1</v>
      </c>
      <c r="B36" s="520">
        <v>325</v>
      </c>
      <c r="C36" s="523">
        <v>575</v>
      </c>
      <c r="D36" s="520">
        <v>900</v>
      </c>
      <c r="E36" s="191">
        <v>1150</v>
      </c>
      <c r="F36" s="525">
        <v>375</v>
      </c>
      <c r="G36" s="195">
        <v>625</v>
      </c>
      <c r="H36" s="441">
        <v>1000</v>
      </c>
      <c r="I36" s="195">
        <v>1250</v>
      </c>
    </row>
    <row r="37" spans="1:9" ht="15" customHeight="1" x14ac:dyDescent="0.15">
      <c r="A37" s="422">
        <v>2</v>
      </c>
      <c r="B37" s="521">
        <v>275</v>
      </c>
      <c r="C37" s="523">
        <v>475</v>
      </c>
      <c r="D37" s="521">
        <v>750</v>
      </c>
      <c r="E37" s="191">
        <v>950</v>
      </c>
      <c r="F37" s="438">
        <v>325</v>
      </c>
      <c r="G37" s="219">
        <v>575</v>
      </c>
      <c r="H37" s="444">
        <v>900</v>
      </c>
      <c r="I37" s="219">
        <v>1150</v>
      </c>
    </row>
    <row r="38" spans="1:9" ht="15" customHeight="1" x14ac:dyDescent="0.15">
      <c r="A38" s="422">
        <v>3</v>
      </c>
      <c r="B38" s="521">
        <v>175</v>
      </c>
      <c r="C38" s="523">
        <v>325</v>
      </c>
      <c r="D38" s="521">
        <v>500</v>
      </c>
      <c r="E38" s="191">
        <v>625</v>
      </c>
      <c r="F38" s="438">
        <v>300</v>
      </c>
      <c r="G38" s="219">
        <v>525</v>
      </c>
      <c r="H38" s="444">
        <v>825</v>
      </c>
      <c r="I38" s="219">
        <v>1050</v>
      </c>
    </row>
    <row r="39" spans="1:9" ht="15" customHeight="1" thickBot="1" x14ac:dyDescent="0.2">
      <c r="A39" s="423">
        <v>4</v>
      </c>
      <c r="B39" s="522">
        <v>175</v>
      </c>
      <c r="C39" s="524">
        <v>325</v>
      </c>
      <c r="D39" s="522">
        <v>500</v>
      </c>
      <c r="E39" s="192">
        <v>625</v>
      </c>
      <c r="F39" s="446">
        <v>300</v>
      </c>
      <c r="G39" s="196">
        <v>525</v>
      </c>
      <c r="H39" s="442">
        <v>825</v>
      </c>
      <c r="I39" s="196">
        <v>1050</v>
      </c>
    </row>
    <row r="40" spans="1:9" ht="24" customHeight="1" thickBot="1" x14ac:dyDescent="0.2">
      <c r="A40" s="60"/>
      <c r="B40" s="60"/>
      <c r="C40" s="8"/>
      <c r="D40" s="8"/>
      <c r="E40" s="8"/>
      <c r="F40" s="8"/>
      <c r="G40" s="8"/>
      <c r="H40" s="8"/>
      <c r="I40" s="8"/>
    </row>
    <row r="41" spans="1:9" ht="20" customHeight="1" x14ac:dyDescent="0.2">
      <c r="A41" s="1011" t="s">
        <v>377</v>
      </c>
      <c r="B41" s="1085"/>
      <c r="C41" s="1085"/>
      <c r="D41" s="1085"/>
      <c r="E41" s="1085"/>
      <c r="F41" s="1085"/>
      <c r="G41" s="1086"/>
      <c r="H41" s="66"/>
      <c r="I41" s="7"/>
    </row>
    <row r="42" spans="1:9" ht="20" customHeight="1" thickBot="1" x14ac:dyDescent="0.25">
      <c r="A42" s="1019" t="s">
        <v>396</v>
      </c>
      <c r="B42" s="1020"/>
      <c r="C42" s="1020"/>
      <c r="D42" s="1020"/>
      <c r="E42" s="1020"/>
      <c r="F42" s="1020"/>
      <c r="G42" s="1021"/>
      <c r="H42" s="66"/>
      <c r="I42" s="7"/>
    </row>
    <row r="43" spans="1:9" ht="13" customHeight="1" x14ac:dyDescent="0.15">
      <c r="A43" s="980" t="s">
        <v>0</v>
      </c>
      <c r="B43" s="972" t="s">
        <v>141</v>
      </c>
      <c r="C43" s="974"/>
      <c r="D43" s="972" t="s">
        <v>435</v>
      </c>
      <c r="E43" s="973"/>
      <c r="F43" s="972" t="s">
        <v>321</v>
      </c>
      <c r="G43" s="974"/>
      <c r="H43" s="48"/>
      <c r="I43" s="7"/>
    </row>
    <row r="44" spans="1:9" ht="14" customHeight="1" thickBot="1" x14ac:dyDescent="0.2">
      <c r="A44" s="1034"/>
      <c r="B44" s="1063">
        <f>$D$19</f>
        <v>40999</v>
      </c>
      <c r="C44" s="1064"/>
      <c r="D44" s="1063" t="str">
        <f>'Løntabel gældende fra'!$D$1</f>
        <v>01/04/17</v>
      </c>
      <c r="E44" s="1024"/>
      <c r="F44" s="1063" t="str">
        <f>'Løntabel gældende fra'!$D$1</f>
        <v>01/04/17</v>
      </c>
      <c r="G44" s="1064"/>
      <c r="H44" s="48"/>
      <c r="I44" s="7"/>
    </row>
    <row r="45" spans="1:9" ht="15" customHeight="1" x14ac:dyDescent="0.15">
      <c r="A45" s="421">
        <v>1</v>
      </c>
      <c r="B45" s="1151">
        <v>5200</v>
      </c>
      <c r="C45" s="1151"/>
      <c r="D45" s="992">
        <f>B45+(B45*'Løntabel gældende fra'!$D$7%)</f>
        <v>5420.7192000000005</v>
      </c>
      <c r="E45" s="993"/>
      <c r="F45" s="1152">
        <f>D45/12</f>
        <v>451.72660000000002</v>
      </c>
      <c r="G45" s="1153"/>
      <c r="H45" s="10"/>
      <c r="I45" s="7"/>
    </row>
    <row r="46" spans="1:9" ht="15" customHeight="1" x14ac:dyDescent="0.15">
      <c r="A46" s="422">
        <v>2</v>
      </c>
      <c r="B46" s="1014">
        <v>7900</v>
      </c>
      <c r="C46" s="1014"/>
      <c r="D46" s="997">
        <f>B46+(B46*'Løntabel gældende fra'!$D$7%)</f>
        <v>8235.3233999999993</v>
      </c>
      <c r="E46" s="998"/>
      <c r="F46" s="1005">
        <f>D46/12</f>
        <v>686.27694999999994</v>
      </c>
      <c r="G46" s="1006"/>
      <c r="H46" s="10"/>
      <c r="I46" s="7"/>
    </row>
    <row r="47" spans="1:9" ht="15" customHeight="1" thickBot="1" x14ac:dyDescent="0.2">
      <c r="A47" s="423">
        <v>3</v>
      </c>
      <c r="B47" s="1115">
        <v>7900</v>
      </c>
      <c r="C47" s="1115"/>
      <c r="D47" s="1149">
        <f>B47+(B47*'Løntabel gældende fra'!$D$7%)</f>
        <v>8235.3233999999993</v>
      </c>
      <c r="E47" s="1150"/>
      <c r="F47" s="978">
        <f>D47/12</f>
        <v>686.27694999999994</v>
      </c>
      <c r="G47" s="979"/>
      <c r="H47" s="10"/>
      <c r="I47" s="7"/>
    </row>
    <row r="48" spans="1:9" s="65" customFormat="1" ht="24" customHeight="1" thickBot="1" x14ac:dyDescent="0.2">
      <c r="A48" s="48"/>
      <c r="B48" s="62"/>
      <c r="C48" s="48"/>
      <c r="D48" s="63"/>
      <c r="E48" s="48"/>
      <c r="F48" s="63"/>
      <c r="G48" s="48"/>
      <c r="H48" s="48"/>
      <c r="I48" s="64"/>
    </row>
    <row r="49" spans="1:17" ht="20" customHeight="1" x14ac:dyDescent="0.15">
      <c r="A49" s="1011" t="s">
        <v>378</v>
      </c>
      <c r="B49" s="1012"/>
      <c r="C49" s="1012"/>
      <c r="D49" s="1012"/>
      <c r="E49" s="1012"/>
      <c r="F49" s="1012"/>
      <c r="G49" s="1013"/>
      <c r="H49" s="67"/>
      <c r="K49" s="16"/>
      <c r="L49" s="16"/>
      <c r="M49" s="16"/>
      <c r="N49" s="16"/>
      <c r="O49" s="16"/>
      <c r="P49" s="16"/>
      <c r="Q49" s="16"/>
    </row>
    <row r="50" spans="1:17" ht="20" customHeight="1" thickBot="1" x14ac:dyDescent="0.2">
      <c r="A50" s="1019" t="s">
        <v>397</v>
      </c>
      <c r="B50" s="1020"/>
      <c r="C50" s="1020"/>
      <c r="D50" s="1020"/>
      <c r="E50" s="1020"/>
      <c r="F50" s="1020"/>
      <c r="G50" s="1021"/>
      <c r="H50" s="67"/>
      <c r="K50" s="16"/>
      <c r="L50" s="16"/>
      <c r="M50" s="16"/>
      <c r="N50" s="16"/>
      <c r="O50" s="16"/>
      <c r="P50" s="16"/>
      <c r="Q50" s="16"/>
    </row>
    <row r="51" spans="1:17" ht="16" customHeight="1" x14ac:dyDescent="0.15">
      <c r="A51" s="980" t="s">
        <v>0</v>
      </c>
      <c r="B51" s="1015" t="s">
        <v>141</v>
      </c>
      <c r="C51" s="1016"/>
      <c r="D51" s="1015" t="s">
        <v>435</v>
      </c>
      <c r="E51" s="1016"/>
      <c r="F51" s="1015" t="s">
        <v>321</v>
      </c>
      <c r="G51" s="1016"/>
      <c r="H51" s="48"/>
      <c r="K51" s="16"/>
      <c r="L51" s="16"/>
      <c r="M51" s="16"/>
      <c r="N51" s="16"/>
      <c r="O51" s="16"/>
      <c r="P51" s="16"/>
      <c r="Q51" s="16"/>
    </row>
    <row r="52" spans="1:17" ht="16" customHeight="1" thickBot="1" x14ac:dyDescent="0.2">
      <c r="A52" s="981"/>
      <c r="B52" s="1017">
        <f>C9</f>
        <v>40999</v>
      </c>
      <c r="C52" s="1018"/>
      <c r="D52" s="1116" t="str">
        <f>'Løntabel gældende fra'!D1</f>
        <v>01/04/17</v>
      </c>
      <c r="E52" s="1018"/>
      <c r="F52" s="1116" t="str">
        <f>'Løntabel gældende fra'!D1</f>
        <v>01/04/17</v>
      </c>
      <c r="G52" s="1018"/>
      <c r="H52" s="48"/>
      <c r="K52" s="16"/>
      <c r="L52" s="16"/>
      <c r="M52" s="16"/>
      <c r="N52" s="16"/>
      <c r="O52" s="16"/>
      <c r="P52" s="16"/>
      <c r="Q52" s="16"/>
    </row>
    <row r="53" spans="1:17" ht="15" customHeight="1" x14ac:dyDescent="0.15">
      <c r="A53" s="421">
        <v>1</v>
      </c>
      <c r="B53" s="1117">
        <v>2800</v>
      </c>
      <c r="C53" s="1117"/>
      <c r="D53" s="970">
        <f>B53+(B53*'Løntabel gældende fra'!$D$7%)</f>
        <v>2918.8488000000002</v>
      </c>
      <c r="E53" s="971"/>
      <c r="F53" s="1117">
        <f>D53/12</f>
        <v>243.23740000000001</v>
      </c>
      <c r="G53" s="993"/>
      <c r="H53" s="10"/>
      <c r="K53" s="16"/>
      <c r="L53" s="16"/>
      <c r="M53" s="16"/>
      <c r="N53" s="16"/>
      <c r="O53" s="16"/>
      <c r="P53" s="16"/>
      <c r="Q53" s="16"/>
    </row>
    <row r="54" spans="1:17" ht="15" customHeight="1" x14ac:dyDescent="0.15">
      <c r="A54" s="422">
        <v>2</v>
      </c>
      <c r="B54" s="1014">
        <v>2800</v>
      </c>
      <c r="C54" s="1014"/>
      <c r="D54" s="1005">
        <f>B54+(B54*'Løntabel gældende fra'!$D$7%)</f>
        <v>2918.8488000000002</v>
      </c>
      <c r="E54" s="1006"/>
      <c r="F54" s="1151">
        <f>D54/12</f>
        <v>243.23740000000001</v>
      </c>
      <c r="G54" s="998"/>
      <c r="H54" s="10"/>
      <c r="K54" s="16"/>
      <c r="L54" s="16"/>
      <c r="M54" s="16"/>
      <c r="N54" s="16"/>
      <c r="O54" s="16"/>
      <c r="P54" s="16"/>
      <c r="Q54" s="16"/>
    </row>
    <row r="55" spans="1:17" ht="15" customHeight="1" x14ac:dyDescent="0.15">
      <c r="A55" s="424">
        <v>3</v>
      </c>
      <c r="B55" s="1014">
        <v>2800</v>
      </c>
      <c r="C55" s="1014"/>
      <c r="D55" s="1005">
        <f>B55+(B55*'Løntabel gældende fra'!$D$7%)</f>
        <v>2918.8488000000002</v>
      </c>
      <c r="E55" s="1006"/>
      <c r="F55" s="1151">
        <f>D55/12</f>
        <v>243.23740000000001</v>
      </c>
      <c r="G55" s="998"/>
      <c r="H55" s="10"/>
      <c r="K55" s="16"/>
      <c r="L55" s="16"/>
      <c r="M55" s="16"/>
      <c r="N55" s="16"/>
      <c r="O55" s="16"/>
      <c r="P55" s="16"/>
      <c r="Q55" s="16"/>
    </row>
    <row r="56" spans="1:17" ht="15" customHeight="1" thickBot="1" x14ac:dyDescent="0.2">
      <c r="A56" s="423">
        <v>4</v>
      </c>
      <c r="B56" s="1115">
        <v>2800</v>
      </c>
      <c r="C56" s="1115"/>
      <c r="D56" s="978">
        <f>B56+(B56*'Løntabel gældende fra'!$D$7%)</f>
        <v>2918.8488000000002</v>
      </c>
      <c r="E56" s="979"/>
      <c r="F56" s="1115">
        <f>D56/12</f>
        <v>243.23740000000001</v>
      </c>
      <c r="G56" s="1150"/>
      <c r="H56" s="10"/>
      <c r="K56" s="16"/>
      <c r="L56" s="16"/>
      <c r="M56" s="16"/>
      <c r="N56" s="16"/>
      <c r="O56" s="16"/>
      <c r="P56" s="16"/>
      <c r="Q56" s="16"/>
    </row>
    <row r="57" spans="1:17" ht="25" customHeight="1" thickBot="1" x14ac:dyDescent="0.2">
      <c r="A57" s="48"/>
      <c r="B57" s="50"/>
      <c r="C57" s="50"/>
      <c r="D57" s="50"/>
      <c r="E57" s="50"/>
      <c r="F57" s="51"/>
      <c r="G57" s="51"/>
      <c r="H57" s="51"/>
      <c r="K57" s="16"/>
      <c r="L57" s="16"/>
      <c r="M57" s="16"/>
      <c r="N57" s="16"/>
      <c r="O57" s="16"/>
      <c r="P57" s="16"/>
      <c r="Q57" s="16"/>
    </row>
    <row r="58" spans="1:17" ht="20" customHeight="1" x14ac:dyDescent="0.15">
      <c r="A58" s="994" t="s">
        <v>380</v>
      </c>
      <c r="B58" s="995"/>
      <c r="C58" s="995"/>
      <c r="D58" s="995"/>
      <c r="E58" s="995"/>
      <c r="F58" s="995"/>
      <c r="G58" s="995"/>
      <c r="H58" s="995"/>
      <c r="I58" s="996"/>
    </row>
    <row r="59" spans="1:17" ht="20" customHeight="1" thickBot="1" x14ac:dyDescent="0.2">
      <c r="A59" s="1102" t="s">
        <v>398</v>
      </c>
      <c r="B59" s="1103"/>
      <c r="C59" s="1103"/>
      <c r="D59" s="1103"/>
      <c r="E59" s="1103"/>
      <c r="F59" s="1103"/>
      <c r="G59" s="1103"/>
      <c r="H59" s="1103"/>
      <c r="I59" s="1104"/>
    </row>
    <row r="60" spans="1:17" ht="28" customHeight="1" x14ac:dyDescent="0.15">
      <c r="A60" s="999" t="s">
        <v>344</v>
      </c>
      <c r="B60" s="1000"/>
      <c r="C60" s="1000"/>
      <c r="D60" s="1000"/>
      <c r="E60" s="1000"/>
      <c r="F60" s="1001"/>
      <c r="G60" s="399" t="s">
        <v>141</v>
      </c>
      <c r="H60" s="399" t="s">
        <v>105</v>
      </c>
      <c r="I60" s="840" t="s">
        <v>321</v>
      </c>
    </row>
    <row r="61" spans="1:17" ht="15" customHeight="1" thickBot="1" x14ac:dyDescent="0.2">
      <c r="A61" s="999"/>
      <c r="B61" s="1000"/>
      <c r="C61" s="1000"/>
      <c r="D61" s="1000"/>
      <c r="E61" s="1000"/>
      <c r="F61" s="1001"/>
      <c r="G61" s="400">
        <f>C9</f>
        <v>40999</v>
      </c>
      <c r="H61" s="400">
        <f>C9</f>
        <v>40999</v>
      </c>
      <c r="I61" s="400" t="str">
        <f>'Løntabel gældende fra'!$D$1</f>
        <v>01/04/17</v>
      </c>
    </row>
    <row r="62" spans="1:17" ht="15" customHeight="1" thickBot="1" x14ac:dyDescent="0.2">
      <c r="A62" s="1002"/>
      <c r="B62" s="1003"/>
      <c r="C62" s="1003"/>
      <c r="D62" s="1003"/>
      <c r="E62" s="1003"/>
      <c r="F62" s="1004"/>
      <c r="G62" s="193">
        <v>19300</v>
      </c>
      <c r="H62" s="193">
        <f>G62/12</f>
        <v>1608.3333333333333</v>
      </c>
      <c r="I62" s="194">
        <f>H62+(H62*'Løntabel gældende fra'!$D$7%)</f>
        <v>1676.6006499999999</v>
      </c>
    </row>
    <row r="63" spans="1:17" ht="24" customHeight="1" thickBot="1" x14ac:dyDescent="0.2">
      <c r="A63" s="7"/>
      <c r="B63" s="7"/>
      <c r="C63" s="7" t="s">
        <v>17</v>
      </c>
      <c r="D63" s="7"/>
      <c r="E63" s="7"/>
      <c r="F63" s="7"/>
      <c r="G63" s="7"/>
      <c r="H63" s="7"/>
      <c r="I63" s="7"/>
    </row>
    <row r="64" spans="1:17" ht="20" customHeight="1" x14ac:dyDescent="0.15">
      <c r="A64" s="994" t="s">
        <v>382</v>
      </c>
      <c r="B64" s="995"/>
      <c r="C64" s="995"/>
      <c r="D64" s="995"/>
      <c r="E64" s="995"/>
      <c r="F64" s="995"/>
      <c r="G64" s="995"/>
      <c r="H64" s="995"/>
      <c r="I64" s="996"/>
    </row>
    <row r="65" spans="1:17" ht="20" customHeight="1" thickBot="1" x14ac:dyDescent="0.2">
      <c r="A65" s="1102" t="s">
        <v>381</v>
      </c>
      <c r="B65" s="1103"/>
      <c r="C65" s="1103"/>
      <c r="D65" s="1103"/>
      <c r="E65" s="1103"/>
      <c r="F65" s="1103"/>
      <c r="G65" s="1103"/>
      <c r="H65" s="1103"/>
      <c r="I65" s="1104"/>
    </row>
    <row r="66" spans="1:17" ht="28" customHeight="1" x14ac:dyDescent="0.15">
      <c r="A66" s="1143" t="s">
        <v>383</v>
      </c>
      <c r="B66" s="1144"/>
      <c r="C66" s="1144"/>
      <c r="D66" s="1144"/>
      <c r="E66" s="1144"/>
      <c r="F66" s="1144"/>
      <c r="G66" s="1145"/>
      <c r="H66" s="502" t="s">
        <v>436</v>
      </c>
      <c r="I66" s="839" t="s">
        <v>437</v>
      </c>
    </row>
    <row r="67" spans="1:17" ht="15" customHeight="1" thickBot="1" x14ac:dyDescent="0.2">
      <c r="A67" s="1146"/>
      <c r="B67" s="1147"/>
      <c r="C67" s="1147"/>
      <c r="D67" s="1147"/>
      <c r="E67" s="1147"/>
      <c r="F67" s="1147"/>
      <c r="G67" s="1148"/>
      <c r="H67" s="400">
        <f>C9</f>
        <v>40999</v>
      </c>
      <c r="I67" s="400" t="str">
        <f>'Løntabel gældende fra'!$D$1</f>
        <v>01/04/17</v>
      </c>
    </row>
    <row r="68" spans="1:17" ht="15" customHeight="1" thickBot="1" x14ac:dyDescent="0.2">
      <c r="A68" s="1037" t="s">
        <v>14</v>
      </c>
      <c r="B68" s="1038"/>
      <c r="C68" s="1038"/>
      <c r="D68" s="1038"/>
      <c r="E68" s="1038"/>
      <c r="F68" s="1038"/>
      <c r="G68" s="1038"/>
      <c r="H68" s="197">
        <v>19</v>
      </c>
      <c r="I68" s="198">
        <f>H68+H68*'Løntabel gældende fra'!$D$7%</f>
        <v>19.806474000000001</v>
      </c>
    </row>
    <row r="69" spans="1:17" ht="24" customHeight="1" thickBot="1" x14ac:dyDescent="0.2">
      <c r="A69" s="7"/>
      <c r="B69" s="7"/>
      <c r="C69" s="7"/>
      <c r="D69" s="7"/>
      <c r="E69" s="7"/>
      <c r="F69" s="7"/>
      <c r="G69" s="7"/>
      <c r="H69" s="7"/>
      <c r="I69" s="7"/>
    </row>
    <row r="70" spans="1:17" ht="20" customHeight="1" x14ac:dyDescent="0.15">
      <c r="A70" s="994" t="s">
        <v>384</v>
      </c>
      <c r="B70" s="995"/>
      <c r="C70" s="995"/>
      <c r="D70" s="995"/>
      <c r="E70" s="995"/>
      <c r="F70" s="995"/>
      <c r="G70" s="995"/>
      <c r="H70" s="995"/>
      <c r="I70" s="996"/>
    </row>
    <row r="71" spans="1:17" ht="20" customHeight="1" thickBot="1" x14ac:dyDescent="0.2">
      <c r="A71" s="1102" t="s">
        <v>381</v>
      </c>
      <c r="B71" s="1103"/>
      <c r="C71" s="1103"/>
      <c r="D71" s="1103"/>
      <c r="E71" s="1103"/>
      <c r="F71" s="1103"/>
      <c r="G71" s="1103"/>
      <c r="H71" s="1103"/>
      <c r="I71" s="1104"/>
    </row>
    <row r="72" spans="1:17" ht="13" customHeight="1" x14ac:dyDescent="0.15">
      <c r="A72" s="1121" t="s">
        <v>16</v>
      </c>
      <c r="B72" s="1122"/>
      <c r="C72" s="1122"/>
      <c r="D72" s="1122"/>
      <c r="E72" s="1122"/>
      <c r="F72" s="1122"/>
      <c r="G72" s="1123"/>
      <c r="H72" s="401" t="s">
        <v>102</v>
      </c>
      <c r="I72" s="402" t="s">
        <v>107</v>
      </c>
    </row>
    <row r="73" spans="1:17" ht="15" customHeight="1" thickBot="1" x14ac:dyDescent="0.2">
      <c r="A73" s="1124"/>
      <c r="B73" s="1125"/>
      <c r="C73" s="1125"/>
      <c r="D73" s="1125"/>
      <c r="E73" s="1125"/>
      <c r="F73" s="1125"/>
      <c r="G73" s="1126"/>
      <c r="H73" s="403">
        <f>C9</f>
        <v>40999</v>
      </c>
      <c r="I73" s="400" t="str">
        <f>'Løntabel gældende fra'!$D$1</f>
        <v>01/04/17</v>
      </c>
    </row>
    <row r="74" spans="1:17" ht="15" customHeight="1" x14ac:dyDescent="0.15">
      <c r="A74" s="1127" t="s">
        <v>19</v>
      </c>
      <c r="B74" s="1128"/>
      <c r="C74" s="1128"/>
      <c r="D74" s="1128"/>
      <c r="E74" s="1128"/>
      <c r="F74" s="1128"/>
      <c r="G74" s="1128"/>
      <c r="H74" s="237">
        <v>6.59</v>
      </c>
      <c r="I74" s="238">
        <f>H74+H74*'Løntabel gældende fra'!$D$7%</f>
        <v>6.8697191399999999</v>
      </c>
    </row>
    <row r="75" spans="1:17" ht="15" customHeight="1" thickBot="1" x14ac:dyDescent="0.2">
      <c r="A75" s="1129" t="s">
        <v>18</v>
      </c>
      <c r="B75" s="1130"/>
      <c r="C75" s="1130"/>
      <c r="D75" s="1130"/>
      <c r="E75" s="1130"/>
      <c r="F75" s="1130"/>
      <c r="G75" s="1130"/>
      <c r="H75" s="215">
        <v>61.22</v>
      </c>
      <c r="I75" s="239">
        <f>H75+H75*'Løntabel gældende fra'!$D$7%</f>
        <v>63.818544119999999</v>
      </c>
    </row>
    <row r="76" spans="1:17" ht="37" customHeight="1" thickBot="1" x14ac:dyDescent="0.2">
      <c r="A76" s="1039" t="s">
        <v>446</v>
      </c>
      <c r="B76" s="1040"/>
      <c r="C76" s="1040"/>
      <c r="D76" s="1040"/>
      <c r="E76" s="1040"/>
      <c r="F76" s="1040"/>
      <c r="G76" s="1040"/>
      <c r="H76" s="1040"/>
      <c r="I76" s="1041"/>
      <c r="K76" s="16"/>
      <c r="L76" s="16"/>
      <c r="M76" s="16"/>
      <c r="N76" s="16"/>
      <c r="O76" s="16"/>
      <c r="P76" s="16"/>
      <c r="Q76" s="16"/>
    </row>
    <row r="77" spans="1:17" ht="20" customHeight="1" thickBot="1" x14ac:dyDescent="0.2">
      <c r="A77" s="1039" t="s">
        <v>445</v>
      </c>
      <c r="B77" s="1040"/>
      <c r="C77" s="1040"/>
      <c r="D77" s="1040"/>
      <c r="E77" s="1040"/>
      <c r="F77" s="1040"/>
      <c r="G77" s="1040"/>
      <c r="H77" s="1040"/>
      <c r="I77" s="1041"/>
      <c r="K77" s="16"/>
      <c r="L77" s="16"/>
      <c r="M77" s="16"/>
      <c r="N77" s="16"/>
      <c r="O77" s="16"/>
      <c r="P77" s="16"/>
      <c r="Q77" s="16"/>
    </row>
    <row r="78" spans="1:17" ht="24" customHeight="1" thickBot="1" x14ac:dyDescent="0.2">
      <c r="A78" s="77"/>
      <c r="B78" s="77"/>
      <c r="C78" s="77"/>
      <c r="D78" s="77"/>
      <c r="E78" s="77"/>
      <c r="F78" s="77"/>
      <c r="G78" s="77"/>
      <c r="H78" s="77"/>
      <c r="I78" s="77"/>
      <c r="K78" s="16"/>
      <c r="L78" s="16"/>
      <c r="M78" s="16"/>
      <c r="N78" s="16"/>
      <c r="O78" s="16"/>
      <c r="P78" s="16"/>
      <c r="Q78" s="16"/>
    </row>
    <row r="79" spans="1:17" customFormat="1" ht="24" customHeight="1" thickBot="1" x14ac:dyDescent="0.25">
      <c r="A79" s="1007" t="s">
        <v>72</v>
      </c>
      <c r="B79" s="1008"/>
      <c r="C79" s="1008"/>
      <c r="D79" s="1008"/>
      <c r="E79" s="1008"/>
      <c r="F79" s="1008"/>
      <c r="G79" s="1009"/>
      <c r="H79" s="66"/>
    </row>
    <row r="80" spans="1:17" customFormat="1" ht="24" customHeight="1" thickBot="1" x14ac:dyDescent="0.25">
      <c r="A80" s="1137" t="s">
        <v>73</v>
      </c>
      <c r="B80" s="1138"/>
      <c r="C80" s="1139"/>
      <c r="D80" s="1109">
        <v>40999</v>
      </c>
      <c r="E80" s="1022"/>
      <c r="F80" s="1022" t="str">
        <f>'Løntabel gældende fra'!$D$1</f>
        <v>01/04/17</v>
      </c>
      <c r="G80" s="1023"/>
      <c r="H80" s="68"/>
    </row>
    <row r="81" spans="1:22" s="697" customFormat="1" ht="24" customHeight="1" thickBot="1" x14ac:dyDescent="0.25">
      <c r="A81" s="1140"/>
      <c r="B81" s="1141"/>
      <c r="C81" s="1142"/>
      <c r="D81" s="1133" t="s">
        <v>385</v>
      </c>
      <c r="E81" s="1134"/>
      <c r="F81" s="1135" t="s">
        <v>385</v>
      </c>
      <c r="G81" s="1134"/>
      <c r="H81" s="698"/>
      <c r="I81" s="698"/>
      <c r="J81" s="698"/>
      <c r="K81" s="698"/>
      <c r="L81" s="698"/>
      <c r="M81" s="698"/>
      <c r="N81" s="698"/>
      <c r="O81" s="698"/>
      <c r="P81" s="698"/>
      <c r="Q81" s="698"/>
      <c r="R81" s="698"/>
      <c r="S81" s="698"/>
      <c r="T81" s="698"/>
      <c r="U81" s="698"/>
      <c r="V81" s="698"/>
    </row>
    <row r="82" spans="1:22" customFormat="1" ht="15" customHeight="1" x14ac:dyDescent="0.2">
      <c r="A82" s="199" t="s">
        <v>74</v>
      </c>
      <c r="B82" s="200"/>
      <c r="C82" s="201"/>
      <c r="D82" s="202">
        <v>236</v>
      </c>
      <c r="E82" s="202">
        <v>334</v>
      </c>
      <c r="F82" s="699">
        <f>D82+D82*'Løntabel gældende fra'!$D$7%</f>
        <v>246.017256</v>
      </c>
      <c r="G82" s="700">
        <f>E82+E82*'Løntabel gældende fra'!$D$7%</f>
        <v>348.176964</v>
      </c>
      <c r="H82" s="61"/>
    </row>
    <row r="83" spans="1:22" customFormat="1" ht="15" customHeight="1" thickBot="1" x14ac:dyDescent="0.25">
      <c r="A83" s="150" t="s">
        <v>76</v>
      </c>
      <c r="B83" s="151"/>
      <c r="C83" s="203"/>
      <c r="D83" s="204">
        <v>170</v>
      </c>
      <c r="E83" s="204">
        <v>269</v>
      </c>
      <c r="F83" s="205">
        <f>D83+D83*'Løntabel gældende fra'!$D$7%</f>
        <v>177.21582000000001</v>
      </c>
      <c r="G83" s="206">
        <f>E83+E83*'Løntabel gældende fra'!$D$7%</f>
        <v>280.41797400000002</v>
      </c>
      <c r="H83" s="61"/>
    </row>
    <row r="84" spans="1:22" customFormat="1" ht="24" customHeight="1" thickBot="1" x14ac:dyDescent="0.25">
      <c r="A84" s="972" t="s">
        <v>75</v>
      </c>
      <c r="B84" s="973"/>
      <c r="C84" s="974"/>
      <c r="D84" s="1052">
        <f>D80</f>
        <v>40999</v>
      </c>
      <c r="E84" s="1053"/>
      <c r="F84" s="1054" t="str">
        <f>'Løntabel gældende fra'!$D$1</f>
        <v>01/04/17</v>
      </c>
      <c r="G84" s="1023"/>
      <c r="H84" s="68"/>
    </row>
    <row r="85" spans="1:22" s="697" customFormat="1" ht="24" customHeight="1" thickBot="1" x14ac:dyDescent="0.25">
      <c r="A85" s="1136"/>
      <c r="B85" s="1024"/>
      <c r="C85" s="1064"/>
      <c r="D85" s="1133" t="s">
        <v>385</v>
      </c>
      <c r="E85" s="1134"/>
      <c r="F85" s="1135" t="s">
        <v>385</v>
      </c>
      <c r="G85" s="1134"/>
      <c r="H85" s="698"/>
      <c r="I85" s="698"/>
      <c r="J85" s="698"/>
      <c r="K85" s="698"/>
      <c r="L85" s="698"/>
      <c r="M85" s="698"/>
      <c r="N85" s="698"/>
      <c r="O85" s="698"/>
      <c r="P85" s="698"/>
      <c r="Q85" s="698"/>
      <c r="R85" s="698"/>
      <c r="S85" s="698"/>
      <c r="T85" s="698"/>
      <c r="U85" s="698"/>
      <c r="V85" s="698"/>
    </row>
    <row r="86" spans="1:22" customFormat="1" ht="15" customHeight="1" x14ac:dyDescent="0.2">
      <c r="A86" s="199" t="s">
        <v>74</v>
      </c>
      <c r="B86" s="200"/>
      <c r="C86" s="201"/>
      <c r="D86" s="202">
        <v>203</v>
      </c>
      <c r="E86" s="202">
        <v>334</v>
      </c>
      <c r="F86" s="207">
        <f>D86+D86*'Løntabel gældende fra'!$D$7%</f>
        <v>211.61653799999999</v>
      </c>
      <c r="G86" s="208">
        <f>E86+E86*'Løntabel gældende fra'!$D$7%</f>
        <v>348.176964</v>
      </c>
      <c r="H86" s="61"/>
    </row>
    <row r="87" spans="1:22" customFormat="1" ht="15" customHeight="1" thickBot="1" x14ac:dyDescent="0.25">
      <c r="A87" s="688" t="s">
        <v>76</v>
      </c>
      <c r="B87" s="689"/>
      <c r="C87" s="690"/>
      <c r="D87" s="209">
        <v>138</v>
      </c>
      <c r="E87" s="209">
        <v>269</v>
      </c>
      <c r="F87" s="210">
        <f>D87+D87*'Løntabel gældende fra'!$D$7%</f>
        <v>143.85754800000001</v>
      </c>
      <c r="G87" s="211">
        <f>E87+E87*'Løntabel gældende fra'!$D$7%</f>
        <v>280.41797400000002</v>
      </c>
      <c r="H87" s="61"/>
    </row>
    <row r="88" spans="1:22" ht="24" customHeight="1" thickBot="1" x14ac:dyDescent="0.2">
      <c r="A88" s="7"/>
      <c r="B88" s="7"/>
      <c r="C88" s="7"/>
      <c r="D88" s="7"/>
      <c r="E88" s="7"/>
      <c r="F88" s="7"/>
      <c r="G88" s="7"/>
      <c r="H88" s="7"/>
      <c r="I88" s="7"/>
    </row>
    <row r="89" spans="1:22" customFormat="1" ht="24" customHeight="1" thickBot="1" x14ac:dyDescent="0.25">
      <c r="A89" s="1007" t="s">
        <v>63</v>
      </c>
      <c r="B89" s="1008"/>
      <c r="C89" s="1008"/>
      <c r="D89" s="1008"/>
      <c r="E89" s="1008"/>
      <c r="F89" s="1008"/>
      <c r="G89" s="1009"/>
    </row>
    <row r="90" spans="1:22" customFormat="1" ht="16" thickBot="1" x14ac:dyDescent="0.25">
      <c r="A90" s="212"/>
      <c r="B90" s="213"/>
      <c r="C90" s="214"/>
      <c r="D90" s="1054">
        <v>40999</v>
      </c>
      <c r="E90" s="1023"/>
      <c r="F90" s="963" t="str">
        <f>'Løntabel gældende fra'!$D$1</f>
        <v>01/04/17</v>
      </c>
      <c r="G90" s="964"/>
    </row>
    <row r="91" spans="1:22" customFormat="1" ht="16" thickBot="1" x14ac:dyDescent="0.25">
      <c r="A91" s="1110" t="s">
        <v>64</v>
      </c>
      <c r="B91" s="1111"/>
      <c r="C91" s="1111"/>
      <c r="D91" s="1046">
        <v>43.25</v>
      </c>
      <c r="E91" s="1047"/>
      <c r="F91" s="965">
        <f>D91+D91*'Løntabel gældende fra'!$D$7%</f>
        <v>45.085789499999997</v>
      </c>
      <c r="G91" s="966"/>
    </row>
    <row r="92" spans="1:22" customFormat="1" ht="42" customHeight="1" x14ac:dyDescent="0.2">
      <c r="A92" s="1048" t="s">
        <v>250</v>
      </c>
      <c r="B92" s="1049"/>
      <c r="C92" s="1050"/>
      <c r="D92" s="1046">
        <v>9.17</v>
      </c>
      <c r="E92" s="1047"/>
      <c r="F92" s="965">
        <f>D92+D92*'Løntabel gældende fra'!$D$7%</f>
        <v>9.5592298200000005</v>
      </c>
      <c r="G92" s="966"/>
    </row>
    <row r="93" spans="1:22" customFormat="1" ht="16" thickBot="1" x14ac:dyDescent="0.25">
      <c r="A93" s="73" t="s">
        <v>65</v>
      </c>
      <c r="B93" s="74"/>
      <c r="C93" s="74"/>
      <c r="D93" s="1055">
        <v>4587.3100000000004</v>
      </c>
      <c r="E93" s="1056"/>
      <c r="F93" s="1044">
        <f>D93+D93*'Løntabel gældende fra'!$D$7%</f>
        <v>4782.0229602600002</v>
      </c>
      <c r="G93" s="1045"/>
    </row>
    <row r="94" spans="1:22" customFormat="1" ht="15" x14ac:dyDescent="0.2">
      <c r="A94" s="87"/>
      <c r="B94" s="87"/>
      <c r="C94" s="87"/>
      <c r="D94" s="63"/>
      <c r="E94" s="113"/>
      <c r="F94" s="61"/>
      <c r="G94" s="61"/>
    </row>
    <row r="95" spans="1:22" ht="12" customHeight="1" thickBot="1" x14ac:dyDescent="0.25">
      <c r="A95" s="114"/>
      <c r="B95" s="115"/>
      <c r="C95" s="115"/>
      <c r="D95" s="115"/>
      <c r="E95" s="115"/>
      <c r="F95" s="61"/>
      <c r="G95" s="61"/>
      <c r="H95" s="7"/>
      <c r="I95" s="7"/>
    </row>
    <row r="96" spans="1:22" ht="20.25" customHeight="1" x14ac:dyDescent="0.2">
      <c r="A96" s="1028" t="s">
        <v>94</v>
      </c>
      <c r="B96" s="1029"/>
      <c r="C96" s="1029"/>
      <c r="D96" s="1029"/>
      <c r="E96" s="1029"/>
      <c r="F96" s="1029"/>
      <c r="G96" s="1029"/>
      <c r="H96" s="1030"/>
      <c r="I96" s="91"/>
    </row>
    <row r="97" spans="1:15" ht="21" thickBot="1" x14ac:dyDescent="0.25">
      <c r="A97" s="967" t="str">
        <f>'Løntabel gældende fra'!$D$1</f>
        <v>01/04/17</v>
      </c>
      <c r="B97" s="968"/>
      <c r="C97" s="968"/>
      <c r="D97" s="968"/>
      <c r="E97" s="968"/>
      <c r="F97" s="968"/>
      <c r="G97" s="968"/>
      <c r="H97" s="969"/>
      <c r="I97" s="92"/>
    </row>
    <row r="98" spans="1:15" ht="18" customHeight="1" thickBot="1" x14ac:dyDescent="0.25">
      <c r="A98" s="1007" t="s">
        <v>92</v>
      </c>
      <c r="B98" s="1008"/>
      <c r="C98" s="1008"/>
      <c r="D98" s="1008"/>
      <c r="E98" s="1008"/>
      <c r="F98" s="1008"/>
      <c r="G98" s="1008"/>
      <c r="H98" s="1009"/>
      <c r="I98" s="70"/>
    </row>
    <row r="99" spans="1:15" ht="16" customHeight="1" thickBot="1" x14ac:dyDescent="0.2">
      <c r="A99" s="982" t="s">
        <v>0</v>
      </c>
      <c r="B99" s="973" t="s">
        <v>21</v>
      </c>
      <c r="C99" s="974"/>
      <c r="D99" s="1036" t="s">
        <v>97</v>
      </c>
      <c r="E99" s="1036"/>
      <c r="F99" s="1036"/>
      <c r="G99" s="404">
        <v>0.17299999999999999</v>
      </c>
      <c r="H99" s="405"/>
      <c r="I99" s="93"/>
      <c r="J99" s="3"/>
      <c r="K99" s="3"/>
      <c r="L99" s="3"/>
      <c r="M99" s="4"/>
      <c r="N99" s="4"/>
      <c r="O99" s="4"/>
    </row>
    <row r="100" spans="1:15" ht="16" customHeight="1" thickBot="1" x14ac:dyDescent="0.2">
      <c r="A100" s="983"/>
      <c r="B100" s="1042"/>
      <c r="C100" s="1043"/>
      <c r="D100" s="1016" t="s">
        <v>22</v>
      </c>
      <c r="E100" s="1051"/>
      <c r="F100" s="1015" t="s">
        <v>23</v>
      </c>
      <c r="G100" s="1016"/>
      <c r="H100" s="406" t="s">
        <v>24</v>
      </c>
      <c r="J100" s="3"/>
      <c r="K100" s="3"/>
      <c r="L100" s="3"/>
      <c r="M100" s="4"/>
      <c r="N100" s="4"/>
      <c r="O100" s="4"/>
    </row>
    <row r="101" spans="1:15" x14ac:dyDescent="0.15">
      <c r="A101" s="190">
        <v>1</v>
      </c>
      <c r="B101" s="987">
        <f>H10</f>
        <v>23158.632853999999</v>
      </c>
      <c r="C101" s="971"/>
      <c r="D101" s="987">
        <f>H101*1/3</f>
        <v>1335.4811612473331</v>
      </c>
      <c r="E101" s="988"/>
      <c r="F101" s="970">
        <f>H101*2/3</f>
        <v>2670.9623224946663</v>
      </c>
      <c r="G101" s="971"/>
      <c r="H101" s="216">
        <f>B101*$G$99</f>
        <v>4006.4434837419994</v>
      </c>
    </row>
    <row r="102" spans="1:15" x14ac:dyDescent="0.15">
      <c r="A102" s="110">
        <v>2</v>
      </c>
      <c r="B102" s="989">
        <f>H11</f>
        <v>24297.2444975</v>
      </c>
      <c r="C102" s="1006"/>
      <c r="D102" s="989">
        <f>H102*1/3</f>
        <v>1401.1410993558331</v>
      </c>
      <c r="E102" s="990"/>
      <c r="F102" s="1005">
        <f>H102*2/3</f>
        <v>2802.2821987116663</v>
      </c>
      <c r="G102" s="1006"/>
      <c r="H102" s="217">
        <f>B102*$G$99</f>
        <v>4203.4232980674997</v>
      </c>
    </row>
    <row r="103" spans="1:15" x14ac:dyDescent="0.15">
      <c r="A103" s="110">
        <v>3</v>
      </c>
      <c r="B103" s="989">
        <f>H12</f>
        <v>25219.461725500001</v>
      </c>
      <c r="C103" s="1006"/>
      <c r="D103" s="989">
        <f>H103*1/3</f>
        <v>1454.3222928371667</v>
      </c>
      <c r="E103" s="990"/>
      <c r="F103" s="1005">
        <f>H103*2/3</f>
        <v>2908.6445856743335</v>
      </c>
      <c r="G103" s="1006"/>
      <c r="H103" s="217">
        <f>B103*$G$99</f>
        <v>4362.9668785115</v>
      </c>
    </row>
    <row r="104" spans="1:15" ht="15" customHeight="1" thickBot="1" x14ac:dyDescent="0.2">
      <c r="A104" s="111">
        <v>4</v>
      </c>
      <c r="B104" s="986">
        <f>H13</f>
        <v>26847.675507000004</v>
      </c>
      <c r="C104" s="979"/>
      <c r="D104" s="986">
        <f>H104*1/3</f>
        <v>1548.215954237</v>
      </c>
      <c r="E104" s="991"/>
      <c r="F104" s="978">
        <f>H104*2/3</f>
        <v>3096.431908474</v>
      </c>
      <c r="G104" s="979"/>
      <c r="H104" s="218">
        <f>B104*$G$99</f>
        <v>4644.647862711</v>
      </c>
    </row>
    <row r="105" spans="1:15" ht="18" customHeight="1" thickBot="1" x14ac:dyDescent="0.25">
      <c r="A105" s="1007" t="s">
        <v>93</v>
      </c>
      <c r="B105" s="1008"/>
      <c r="C105" s="1008"/>
      <c r="D105" s="1008"/>
      <c r="E105" s="1008"/>
      <c r="F105" s="1008"/>
      <c r="G105" s="1008"/>
      <c r="H105" s="1009"/>
      <c r="I105" s="70"/>
    </row>
    <row r="106" spans="1:15" ht="23" customHeight="1" x14ac:dyDescent="0.15">
      <c r="A106" s="982" t="s">
        <v>0</v>
      </c>
      <c r="B106" s="980" t="s">
        <v>149</v>
      </c>
      <c r="C106" s="972" t="s">
        <v>25</v>
      </c>
      <c r="D106" s="973"/>
      <c r="E106" s="973"/>
      <c r="F106" s="972" t="s">
        <v>26</v>
      </c>
      <c r="G106" s="974"/>
      <c r="H106" s="980" t="s">
        <v>99</v>
      </c>
    </row>
    <row r="107" spans="1:15" ht="22.5" customHeight="1" thickBot="1" x14ac:dyDescent="0.2">
      <c r="A107" s="983"/>
      <c r="B107" s="981"/>
      <c r="C107" s="975">
        <f>B52</f>
        <v>40999</v>
      </c>
      <c r="D107" s="976"/>
      <c r="E107" s="976"/>
      <c r="F107" s="975" t="str">
        <f>'Løntabel gældende fra'!$D$1</f>
        <v>01/04/17</v>
      </c>
      <c r="G107" s="977"/>
      <c r="H107" s="981"/>
    </row>
    <row r="108" spans="1:15" ht="15" customHeight="1" thickBot="1" x14ac:dyDescent="0.2">
      <c r="A108" s="983"/>
      <c r="B108" s="981"/>
      <c r="C108" s="984" t="s">
        <v>90</v>
      </c>
      <c r="D108" s="985"/>
      <c r="E108" s="407" t="s">
        <v>91</v>
      </c>
      <c r="F108" s="407" t="s">
        <v>90</v>
      </c>
      <c r="G108" s="407" t="s">
        <v>91</v>
      </c>
      <c r="H108" s="408">
        <v>0.15</v>
      </c>
    </row>
    <row r="109" spans="1:15" x14ac:dyDescent="0.15">
      <c r="A109" s="165">
        <v>1</v>
      </c>
      <c r="B109" s="451">
        <v>21</v>
      </c>
      <c r="C109" s="970">
        <f>+'Statens skalatrin'!N66</f>
        <v>241583.32</v>
      </c>
      <c r="D109" s="971"/>
      <c r="E109" s="431">
        <f>C109/12</f>
        <v>20131.943333333333</v>
      </c>
      <c r="F109" s="249">
        <f>ROUND(C109*(1+'Løntabel gældende fra'!$D$7/100),0)</f>
        <v>251838</v>
      </c>
      <c r="G109" s="195">
        <f>F109/12</f>
        <v>20986.5</v>
      </c>
      <c r="H109" s="216">
        <f t="shared" ref="H109:H122" si="1">G109*$H$108</f>
        <v>3147.9749999999999</v>
      </c>
      <c r="J109" s="52"/>
    </row>
    <row r="110" spans="1:15" x14ac:dyDescent="0.15">
      <c r="A110" s="146">
        <v>1</v>
      </c>
      <c r="B110" s="433">
        <v>23</v>
      </c>
      <c r="C110" s="1005">
        <f>+'Statens skalatrin'!N72</f>
        <v>250472.55</v>
      </c>
      <c r="D110" s="1006"/>
      <c r="E110" s="217">
        <f t="shared" ref="E110:E122" si="2">C110/12</f>
        <v>20872.712499999998</v>
      </c>
      <c r="F110" s="250">
        <f>ROUND(C110*(1+'Løntabel gældende fra'!$D$7/100),0)</f>
        <v>261104</v>
      </c>
      <c r="G110" s="219">
        <f t="shared" ref="G110:G122" si="3">F110/12</f>
        <v>21758.666666666668</v>
      </c>
      <c r="H110" s="217">
        <f t="shared" si="1"/>
        <v>3263.8</v>
      </c>
    </row>
    <row r="111" spans="1:15" x14ac:dyDescent="0.15">
      <c r="A111" s="146">
        <v>2</v>
      </c>
      <c r="B111" s="433">
        <v>25</v>
      </c>
      <c r="C111" s="1005">
        <f>+'Statens skalatrin'!N78</f>
        <v>259721.7</v>
      </c>
      <c r="D111" s="1006"/>
      <c r="E111" s="217">
        <f t="shared" si="2"/>
        <v>21643.475000000002</v>
      </c>
      <c r="F111" s="250">
        <f>ROUND(C111*(1+'Løntabel gældende fra'!$D$7/100),0)</f>
        <v>270746</v>
      </c>
      <c r="G111" s="219">
        <f t="shared" si="3"/>
        <v>22562.166666666668</v>
      </c>
      <c r="H111" s="217">
        <f t="shared" si="1"/>
        <v>3384.3250000000003</v>
      </c>
    </row>
    <row r="112" spans="1:15" x14ac:dyDescent="0.15">
      <c r="A112" s="146">
        <v>2</v>
      </c>
      <c r="B112" s="433">
        <v>27</v>
      </c>
      <c r="C112" s="1005">
        <f>+'Statens skalatrin'!N84</f>
        <v>269459.90000000002</v>
      </c>
      <c r="D112" s="1006"/>
      <c r="E112" s="217">
        <f t="shared" si="2"/>
        <v>22454.991666666669</v>
      </c>
      <c r="F112" s="250">
        <f>ROUND(C112*(1+'Løntabel gældende fra'!$D$7/100),0)</f>
        <v>280897</v>
      </c>
      <c r="G112" s="219">
        <f t="shared" si="3"/>
        <v>23408.083333333332</v>
      </c>
      <c r="H112" s="217">
        <f t="shared" si="1"/>
        <v>3511.2124999999996</v>
      </c>
    </row>
    <row r="113" spans="1:9" x14ac:dyDescent="0.15">
      <c r="A113" s="146">
        <v>3</v>
      </c>
      <c r="B113" s="433">
        <v>28</v>
      </c>
      <c r="C113" s="1005">
        <f>+'Statens skalatrin'!N87</f>
        <v>274522.23</v>
      </c>
      <c r="D113" s="1006"/>
      <c r="E113" s="217">
        <f t="shared" si="2"/>
        <v>22876.852499999997</v>
      </c>
      <c r="F113" s="250">
        <f>ROUND(C113*(1+'Løntabel gældende fra'!$D$7/100),0)</f>
        <v>286175</v>
      </c>
      <c r="G113" s="219">
        <f t="shared" si="3"/>
        <v>23847.916666666668</v>
      </c>
      <c r="H113" s="217">
        <f t="shared" si="1"/>
        <v>3577.1875</v>
      </c>
    </row>
    <row r="114" spans="1:9" x14ac:dyDescent="0.15">
      <c r="A114" s="146">
        <v>3</v>
      </c>
      <c r="B114" s="433">
        <v>29</v>
      </c>
      <c r="C114" s="1005">
        <f>+'Statens skalatrin'!N90</f>
        <v>279714.99</v>
      </c>
      <c r="D114" s="1006"/>
      <c r="E114" s="217">
        <f t="shared" si="2"/>
        <v>23309.5825</v>
      </c>
      <c r="F114" s="250">
        <f>ROUND(C114*(1+'Løntabel gældende fra'!$D$7/100),0)</f>
        <v>291588</v>
      </c>
      <c r="G114" s="219">
        <f t="shared" si="3"/>
        <v>24299</v>
      </c>
      <c r="H114" s="217">
        <f t="shared" si="1"/>
        <v>3644.85</v>
      </c>
    </row>
    <row r="115" spans="1:9" x14ac:dyDescent="0.15">
      <c r="A115" s="146">
        <v>3</v>
      </c>
      <c r="B115" s="433">
        <v>30</v>
      </c>
      <c r="C115" s="1005">
        <f>+'Statens skalatrin'!N93</f>
        <v>285044.74</v>
      </c>
      <c r="D115" s="1006"/>
      <c r="E115" s="217">
        <f t="shared" si="2"/>
        <v>23753.728333333333</v>
      </c>
      <c r="F115" s="250">
        <f>ROUND(C115*(1+'Løntabel gældende fra'!$D$7/100),0)</f>
        <v>297144</v>
      </c>
      <c r="G115" s="219">
        <f t="shared" si="3"/>
        <v>24762</v>
      </c>
      <c r="H115" s="217">
        <f t="shared" si="1"/>
        <v>3714.2999999999997</v>
      </c>
    </row>
    <row r="116" spans="1:9" x14ac:dyDescent="0.15">
      <c r="A116" s="146">
        <v>3</v>
      </c>
      <c r="B116" s="433">
        <v>31</v>
      </c>
      <c r="C116" s="1005">
        <f>+'Statens skalatrin'!N96</f>
        <v>290512.64000000001</v>
      </c>
      <c r="D116" s="1006"/>
      <c r="E116" s="217">
        <f t="shared" si="2"/>
        <v>24209.386666666669</v>
      </c>
      <c r="F116" s="250">
        <f>ROUND(C116*(1+'Løntabel gældende fra'!$D$7/100),0)</f>
        <v>302844</v>
      </c>
      <c r="G116" s="219">
        <f t="shared" si="3"/>
        <v>25237</v>
      </c>
      <c r="H116" s="217">
        <f t="shared" si="1"/>
        <v>3785.5499999999997</v>
      </c>
    </row>
    <row r="117" spans="1:9" x14ac:dyDescent="0.15">
      <c r="A117" s="146">
        <v>28</v>
      </c>
      <c r="B117" s="433">
        <v>28</v>
      </c>
      <c r="C117" s="1005">
        <f>+C113</f>
        <v>274522.23</v>
      </c>
      <c r="D117" s="1006"/>
      <c r="E117" s="217">
        <f t="shared" si="2"/>
        <v>22876.852499999997</v>
      </c>
      <c r="F117" s="250">
        <f>ROUND(C117*(1+'Løntabel gældende fra'!$D$7/100),0)</f>
        <v>286175</v>
      </c>
      <c r="G117" s="219">
        <f t="shared" si="3"/>
        <v>23847.916666666668</v>
      </c>
      <c r="H117" s="217">
        <f t="shared" si="1"/>
        <v>3577.1875</v>
      </c>
    </row>
    <row r="118" spans="1:9" x14ac:dyDescent="0.15">
      <c r="A118" s="146">
        <v>29</v>
      </c>
      <c r="B118" s="433">
        <v>29</v>
      </c>
      <c r="C118" s="1005">
        <f>+C114</f>
        <v>279714.99</v>
      </c>
      <c r="D118" s="1006"/>
      <c r="E118" s="217">
        <f t="shared" si="2"/>
        <v>23309.5825</v>
      </c>
      <c r="F118" s="250">
        <f>ROUND(C118*(1+'Løntabel gældende fra'!$D$7/100),0)</f>
        <v>291588</v>
      </c>
      <c r="G118" s="219">
        <f t="shared" si="3"/>
        <v>24299</v>
      </c>
      <c r="H118" s="217">
        <f t="shared" si="1"/>
        <v>3644.85</v>
      </c>
    </row>
    <row r="119" spans="1:9" x14ac:dyDescent="0.15">
      <c r="A119" s="146">
        <v>30</v>
      </c>
      <c r="B119" s="433">
        <v>30</v>
      </c>
      <c r="C119" s="1005">
        <f>+C115</f>
        <v>285044.74</v>
      </c>
      <c r="D119" s="1006"/>
      <c r="E119" s="217">
        <f t="shared" si="2"/>
        <v>23753.728333333333</v>
      </c>
      <c r="F119" s="250">
        <f>ROUND(C119*(1+'Løntabel gældende fra'!$D$7/100),0)</f>
        <v>297144</v>
      </c>
      <c r="G119" s="219">
        <f t="shared" si="3"/>
        <v>24762</v>
      </c>
      <c r="H119" s="217">
        <f t="shared" si="1"/>
        <v>3714.2999999999997</v>
      </c>
    </row>
    <row r="120" spans="1:9" x14ac:dyDescent="0.15">
      <c r="A120" s="146">
        <v>31</v>
      </c>
      <c r="B120" s="433">
        <v>31</v>
      </c>
      <c r="C120" s="1005">
        <f>+C116</f>
        <v>290512.64000000001</v>
      </c>
      <c r="D120" s="1006"/>
      <c r="E120" s="217">
        <f t="shared" si="2"/>
        <v>24209.386666666669</v>
      </c>
      <c r="F120" s="250">
        <f>ROUND(C120*(1+'Løntabel gældende fra'!$D$7/100),0)</f>
        <v>302844</v>
      </c>
      <c r="G120" s="219">
        <f t="shared" si="3"/>
        <v>25237</v>
      </c>
      <c r="H120" s="217">
        <f t="shared" si="1"/>
        <v>3785.5499999999997</v>
      </c>
    </row>
    <row r="121" spans="1:9" x14ac:dyDescent="0.15">
      <c r="A121" s="146">
        <v>32</v>
      </c>
      <c r="B121" s="433">
        <v>32</v>
      </c>
      <c r="C121" s="1005">
        <f>+'Statens skalatrin'!N99</f>
        <v>296125.21000000002</v>
      </c>
      <c r="D121" s="1006"/>
      <c r="E121" s="217">
        <f t="shared" si="2"/>
        <v>24677.100833333334</v>
      </c>
      <c r="F121" s="250">
        <f>ROUND(C121*(1+'Løntabel gældende fra'!$D$7/100),0)</f>
        <v>308695</v>
      </c>
      <c r="G121" s="219">
        <f t="shared" si="3"/>
        <v>25724.583333333332</v>
      </c>
      <c r="H121" s="217">
        <f t="shared" si="1"/>
        <v>3858.6874999999995</v>
      </c>
    </row>
    <row r="122" spans="1:9" ht="15" customHeight="1" thickBot="1" x14ac:dyDescent="0.2">
      <c r="A122" s="173">
        <v>33</v>
      </c>
      <c r="B122" s="452">
        <v>33</v>
      </c>
      <c r="C122" s="978">
        <f>+'Statens skalatrin'!N102</f>
        <v>301881.8</v>
      </c>
      <c r="D122" s="979"/>
      <c r="E122" s="432">
        <f t="shared" si="2"/>
        <v>25156.816666666666</v>
      </c>
      <c r="F122" s="251">
        <f>ROUND(C122*(1+'Løntabel gældende fra'!$D$7/100),0)</f>
        <v>314695</v>
      </c>
      <c r="G122" s="196">
        <f t="shared" si="3"/>
        <v>26224.583333333332</v>
      </c>
      <c r="H122" s="218">
        <f t="shared" si="1"/>
        <v>3933.6874999999995</v>
      </c>
    </row>
    <row r="123" spans="1:9" ht="20" customHeight="1" thickBot="1" x14ac:dyDescent="0.2">
      <c r="A123" s="7"/>
      <c r="B123" s="7"/>
      <c r="C123" s="7"/>
      <c r="D123" s="7"/>
      <c r="E123" s="7"/>
      <c r="F123" s="7"/>
      <c r="G123" s="7"/>
      <c r="H123" s="7"/>
      <c r="I123" s="7"/>
    </row>
    <row r="124" spans="1:9" ht="20" x14ac:dyDescent="0.2">
      <c r="A124" s="1028" t="s">
        <v>95</v>
      </c>
      <c r="B124" s="1029"/>
      <c r="C124" s="1029"/>
      <c r="D124" s="1029"/>
      <c r="E124" s="1029"/>
      <c r="F124" s="1029"/>
      <c r="G124" s="1029"/>
      <c r="H124" s="1030"/>
      <c r="I124" s="91"/>
    </row>
    <row r="125" spans="1:9" ht="21" thickBot="1" x14ac:dyDescent="0.25">
      <c r="A125" s="1031" t="str">
        <f>'Løntabel gældende fra'!$D$1</f>
        <v>01/04/17</v>
      </c>
      <c r="B125" s="1032"/>
      <c r="C125" s="1032"/>
      <c r="D125" s="1032"/>
      <c r="E125" s="1032"/>
      <c r="F125" s="1032"/>
      <c r="G125" s="1032"/>
      <c r="H125" s="1033"/>
      <c r="I125" s="92"/>
    </row>
    <row r="126" spans="1:9" ht="19" thickBot="1" x14ac:dyDescent="0.25">
      <c r="A126" s="1007" t="s">
        <v>92</v>
      </c>
      <c r="B126" s="1008"/>
      <c r="C126" s="1008"/>
      <c r="D126" s="1008"/>
      <c r="E126" s="1008"/>
      <c r="F126" s="1008"/>
      <c r="G126" s="1008"/>
      <c r="H126" s="1009"/>
      <c r="I126" s="70"/>
    </row>
    <row r="127" spans="1:9" ht="15" thickBot="1" x14ac:dyDescent="0.2">
      <c r="A127" s="982" t="s">
        <v>0</v>
      </c>
      <c r="B127" s="973" t="s">
        <v>21</v>
      </c>
      <c r="C127" s="973"/>
      <c r="D127" s="1035" t="s">
        <v>97</v>
      </c>
      <c r="E127" s="1036"/>
      <c r="F127" s="1036"/>
      <c r="G127" s="404">
        <v>0.17299999999999999</v>
      </c>
      <c r="H127" s="405"/>
      <c r="I127" s="93"/>
    </row>
    <row r="128" spans="1:9" ht="15" thickBot="1" x14ac:dyDescent="0.2">
      <c r="A128" s="1010"/>
      <c r="B128" s="1024"/>
      <c r="C128" s="1024"/>
      <c r="D128" s="1025" t="s">
        <v>22</v>
      </c>
      <c r="E128" s="1025"/>
      <c r="F128" s="1026" t="s">
        <v>23</v>
      </c>
      <c r="G128" s="1027"/>
      <c r="H128" s="409" t="s">
        <v>24</v>
      </c>
    </row>
    <row r="129" spans="1:10" x14ac:dyDescent="0.15">
      <c r="A129" s="190">
        <v>1</v>
      </c>
      <c r="B129" s="987">
        <f>E10</f>
        <v>24297.2444975</v>
      </c>
      <c r="C129" s="988"/>
      <c r="D129" s="970">
        <f>H129*1/3</f>
        <v>1401.1410993558331</v>
      </c>
      <c r="E129" s="971"/>
      <c r="F129" s="987">
        <f>H129*2/3</f>
        <v>2802.2821987116663</v>
      </c>
      <c r="G129" s="988"/>
      <c r="H129" s="195">
        <f>B129*$G$127</f>
        <v>4203.4232980674997</v>
      </c>
    </row>
    <row r="130" spans="1:10" x14ac:dyDescent="0.15">
      <c r="A130" s="110">
        <v>2</v>
      </c>
      <c r="B130" s="989">
        <f>E11</f>
        <v>25891.231302</v>
      </c>
      <c r="C130" s="990"/>
      <c r="D130" s="1005">
        <f>H130*1/3</f>
        <v>1493.0610050819998</v>
      </c>
      <c r="E130" s="1006"/>
      <c r="F130" s="989">
        <f>H130*2/3</f>
        <v>2986.1220101639997</v>
      </c>
      <c r="G130" s="990"/>
      <c r="H130" s="219">
        <f>B130*$G$127</f>
        <v>4479.1830152459997</v>
      </c>
    </row>
    <row r="131" spans="1:10" x14ac:dyDescent="0.15">
      <c r="A131" s="110">
        <v>3</v>
      </c>
      <c r="B131" s="989">
        <f>E12</f>
        <v>28293.634979499999</v>
      </c>
      <c r="C131" s="990"/>
      <c r="D131" s="1005">
        <f>H131*1/3</f>
        <v>1631.5996171511663</v>
      </c>
      <c r="E131" s="1006"/>
      <c r="F131" s="989">
        <f>H131*2/3</f>
        <v>3263.1992343023326</v>
      </c>
      <c r="G131" s="990"/>
      <c r="H131" s="219">
        <f>B131*$G$127</f>
        <v>4894.7988514534991</v>
      </c>
    </row>
    <row r="132" spans="1:10" ht="15" thickBot="1" x14ac:dyDescent="0.2">
      <c r="A132" s="111">
        <v>4</v>
      </c>
      <c r="B132" s="986">
        <f>E13</f>
        <v>30525.251254000003</v>
      </c>
      <c r="C132" s="991"/>
      <c r="D132" s="978">
        <f>H132*1/3</f>
        <v>1760.2894889806666</v>
      </c>
      <c r="E132" s="979"/>
      <c r="F132" s="986">
        <f>H132*2/3</f>
        <v>3520.5789779613333</v>
      </c>
      <c r="G132" s="991"/>
      <c r="H132" s="196">
        <f>B132*$G$127</f>
        <v>5280.8684669419999</v>
      </c>
    </row>
    <row r="133" spans="1:10" ht="19" thickBot="1" x14ac:dyDescent="0.25">
      <c r="A133" s="1007" t="s">
        <v>93</v>
      </c>
      <c r="B133" s="1008"/>
      <c r="C133" s="1008"/>
      <c r="D133" s="1008"/>
      <c r="E133" s="1008"/>
      <c r="F133" s="1008"/>
      <c r="G133" s="1008"/>
      <c r="H133" s="1009"/>
      <c r="I133" s="70"/>
    </row>
    <row r="134" spans="1:10" ht="15" customHeight="1" x14ac:dyDescent="0.15">
      <c r="A134" s="980" t="s">
        <v>108</v>
      </c>
      <c r="B134" s="980" t="s">
        <v>149</v>
      </c>
      <c r="C134" s="973" t="s">
        <v>25</v>
      </c>
      <c r="D134" s="973"/>
      <c r="E134" s="973"/>
      <c r="F134" s="972" t="s">
        <v>26</v>
      </c>
      <c r="G134" s="974"/>
      <c r="H134" s="980" t="s">
        <v>99</v>
      </c>
    </row>
    <row r="135" spans="1:10" ht="15" thickBot="1" x14ac:dyDescent="0.2">
      <c r="A135" s="981"/>
      <c r="B135" s="981"/>
      <c r="C135" s="976">
        <v>40999</v>
      </c>
      <c r="D135" s="976"/>
      <c r="E135" s="976"/>
      <c r="F135" s="975" t="str">
        <f>'Løntabel gældende fra'!$D$1</f>
        <v>01/04/17</v>
      </c>
      <c r="G135" s="977"/>
      <c r="H135" s="981"/>
    </row>
    <row r="136" spans="1:10" ht="19" customHeight="1" thickBot="1" x14ac:dyDescent="0.2">
      <c r="A136" s="1034"/>
      <c r="B136" s="981"/>
      <c r="C136" s="1132" t="s">
        <v>90</v>
      </c>
      <c r="D136" s="985"/>
      <c r="E136" s="407" t="s">
        <v>91</v>
      </c>
      <c r="F136" s="410" t="s">
        <v>90</v>
      </c>
      <c r="G136" s="407" t="s">
        <v>91</v>
      </c>
      <c r="H136" s="408">
        <v>0.15</v>
      </c>
    </row>
    <row r="137" spans="1:10" ht="14" customHeight="1" x14ac:dyDescent="0.15">
      <c r="A137" s="165">
        <v>1</v>
      </c>
      <c r="B137" s="451">
        <v>24</v>
      </c>
      <c r="C137" s="970">
        <f>+'Statens skalatrin'!N75</f>
        <v>255037.97</v>
      </c>
      <c r="D137" s="971"/>
      <c r="E137" s="431">
        <f>C137/12</f>
        <v>21253.164166666666</v>
      </c>
      <c r="F137" s="249">
        <f>ROUND(C137*(1+'Løntabel gældende fra'!$D$7/100),0)</f>
        <v>265863</v>
      </c>
      <c r="G137" s="195">
        <f>F137/12</f>
        <v>22155.25</v>
      </c>
      <c r="H137" s="216">
        <f t="shared" ref="H137:H151" si="4">G137*$H$136</f>
        <v>3323.2874999999999</v>
      </c>
      <c r="J137" s="53"/>
    </row>
    <row r="138" spans="1:10" x14ac:dyDescent="0.15">
      <c r="A138" s="146">
        <v>1</v>
      </c>
      <c r="B138" s="433">
        <v>25</v>
      </c>
      <c r="C138" s="1005">
        <f>+'Statens skalatrin'!N78</f>
        <v>259721.7</v>
      </c>
      <c r="D138" s="1006"/>
      <c r="E138" s="217">
        <f t="shared" ref="E138:E151" si="5">C138/12</f>
        <v>21643.475000000002</v>
      </c>
      <c r="F138" s="250">
        <f>ROUND(C138*(1+'Løntabel gældende fra'!$D$7/100),0)</f>
        <v>270746</v>
      </c>
      <c r="G138" s="219">
        <f t="shared" ref="G138:G151" si="6">F138/12</f>
        <v>22562.166666666668</v>
      </c>
      <c r="H138" s="217">
        <f t="shared" si="4"/>
        <v>3384.3250000000003</v>
      </c>
    </row>
    <row r="139" spans="1:10" x14ac:dyDescent="0.15">
      <c r="A139" s="146">
        <v>2</v>
      </c>
      <c r="B139" s="433">
        <v>27</v>
      </c>
      <c r="C139" s="1005">
        <f>+'Statens skalatrin'!N84</f>
        <v>269459.90000000002</v>
      </c>
      <c r="D139" s="1006"/>
      <c r="E139" s="217">
        <f t="shared" si="5"/>
        <v>22454.991666666669</v>
      </c>
      <c r="F139" s="250">
        <f>ROUND(C139*(1+'Løntabel gældende fra'!$D$7/100),0)</f>
        <v>280897</v>
      </c>
      <c r="G139" s="219">
        <f t="shared" si="6"/>
        <v>23408.083333333332</v>
      </c>
      <c r="H139" s="217">
        <f t="shared" si="4"/>
        <v>3511.2124999999996</v>
      </c>
    </row>
    <row r="140" spans="1:10" x14ac:dyDescent="0.15">
      <c r="A140" s="146">
        <v>2</v>
      </c>
      <c r="B140" s="433">
        <v>29</v>
      </c>
      <c r="C140" s="1005">
        <f>+'Statens skalatrin'!N90</f>
        <v>279714.99</v>
      </c>
      <c r="D140" s="1006"/>
      <c r="E140" s="217">
        <f t="shared" si="5"/>
        <v>23309.5825</v>
      </c>
      <c r="F140" s="250">
        <f>ROUND(C140*(1+'Løntabel gældende fra'!$D$7/100),0)</f>
        <v>291588</v>
      </c>
      <c r="G140" s="219">
        <f t="shared" si="6"/>
        <v>24299</v>
      </c>
      <c r="H140" s="217">
        <f t="shared" si="4"/>
        <v>3644.85</v>
      </c>
    </row>
    <row r="141" spans="1:10" x14ac:dyDescent="0.15">
      <c r="A141" s="146">
        <v>3</v>
      </c>
      <c r="B141" s="433">
        <v>31</v>
      </c>
      <c r="C141" s="1005">
        <f>+'Statens skalatrin'!N96</f>
        <v>290512.64000000001</v>
      </c>
      <c r="D141" s="1006"/>
      <c r="E141" s="217">
        <f t="shared" si="5"/>
        <v>24209.386666666669</v>
      </c>
      <c r="F141" s="250">
        <f>ROUND(C141*(1+'Løntabel gældende fra'!$D$7/100),0)</f>
        <v>302844</v>
      </c>
      <c r="G141" s="219">
        <f t="shared" si="6"/>
        <v>25237</v>
      </c>
      <c r="H141" s="217">
        <f t="shared" si="4"/>
        <v>3785.5499999999997</v>
      </c>
    </row>
    <row r="142" spans="1:10" x14ac:dyDescent="0.15">
      <c r="A142" s="146">
        <v>3</v>
      </c>
      <c r="B142" s="433">
        <v>33</v>
      </c>
      <c r="C142" s="1005">
        <f>+'Statens skalatrin'!N102</f>
        <v>301881.8</v>
      </c>
      <c r="D142" s="1006"/>
      <c r="E142" s="217">
        <f t="shared" si="5"/>
        <v>25156.816666666666</v>
      </c>
      <c r="F142" s="250">
        <f>ROUND(C142*(1+'Løntabel gældende fra'!$D$7/100),0)</f>
        <v>314695</v>
      </c>
      <c r="G142" s="219">
        <f t="shared" si="6"/>
        <v>26224.583333333332</v>
      </c>
      <c r="H142" s="217">
        <f t="shared" si="4"/>
        <v>3933.6874999999995</v>
      </c>
    </row>
    <row r="143" spans="1:10" x14ac:dyDescent="0.15">
      <c r="A143" s="146">
        <v>3</v>
      </c>
      <c r="B143" s="433">
        <v>35</v>
      </c>
      <c r="C143" s="1005">
        <f>+'Statens skalatrin'!N108</f>
        <v>313854.56</v>
      </c>
      <c r="D143" s="1006"/>
      <c r="E143" s="217">
        <f t="shared" si="5"/>
        <v>26154.546666666665</v>
      </c>
      <c r="F143" s="250">
        <f>ROUND(C143*(1+'Løntabel gældende fra'!$D$7/100),0)</f>
        <v>327176</v>
      </c>
      <c r="G143" s="219">
        <f t="shared" si="6"/>
        <v>27264.666666666668</v>
      </c>
      <c r="H143" s="217">
        <f t="shared" si="4"/>
        <v>4089.7</v>
      </c>
    </row>
    <row r="144" spans="1:10" x14ac:dyDescent="0.15">
      <c r="A144" s="146">
        <v>3</v>
      </c>
      <c r="B144" s="433">
        <v>37</v>
      </c>
      <c r="C144" s="1005">
        <f>+'Statens skalatrin'!N114</f>
        <v>326457.34000000003</v>
      </c>
      <c r="D144" s="1006"/>
      <c r="E144" s="217">
        <f t="shared" si="5"/>
        <v>27204.778333333335</v>
      </c>
      <c r="F144" s="250">
        <f>ROUND(C144*(1+'Løntabel gældende fra'!$D$7/100),0)</f>
        <v>340314</v>
      </c>
      <c r="G144" s="219">
        <f t="shared" si="6"/>
        <v>28359.5</v>
      </c>
      <c r="H144" s="217">
        <f t="shared" si="4"/>
        <v>4253.9250000000002</v>
      </c>
    </row>
    <row r="145" spans="1:9" x14ac:dyDescent="0.15">
      <c r="A145" s="146">
        <v>3</v>
      </c>
      <c r="B145" s="433">
        <v>40</v>
      </c>
      <c r="C145" s="1005">
        <f>+'Statens skalatrin'!N123</f>
        <v>347027.46</v>
      </c>
      <c r="D145" s="1006"/>
      <c r="E145" s="217">
        <f t="shared" si="5"/>
        <v>28918.955000000002</v>
      </c>
      <c r="F145" s="250">
        <f>ROUND(C145*(1+'Løntabel gældende fra'!$D$7/100),0)</f>
        <v>361757</v>
      </c>
      <c r="G145" s="219">
        <f t="shared" si="6"/>
        <v>30146.416666666668</v>
      </c>
      <c r="H145" s="217">
        <f t="shared" si="4"/>
        <v>4521.9624999999996</v>
      </c>
    </row>
    <row r="146" spans="1:9" x14ac:dyDescent="0.15">
      <c r="A146" s="146">
        <v>35</v>
      </c>
      <c r="B146" s="433">
        <v>35</v>
      </c>
      <c r="C146" s="1005">
        <f>+C143</f>
        <v>313854.56</v>
      </c>
      <c r="D146" s="1006"/>
      <c r="E146" s="217">
        <f t="shared" si="5"/>
        <v>26154.546666666665</v>
      </c>
      <c r="F146" s="250">
        <f>ROUND(C146*(1+'Løntabel gældende fra'!$D$7/100),0)</f>
        <v>327176</v>
      </c>
      <c r="G146" s="219">
        <f t="shared" si="6"/>
        <v>27264.666666666668</v>
      </c>
      <c r="H146" s="217">
        <f t="shared" si="4"/>
        <v>4089.7</v>
      </c>
    </row>
    <row r="147" spans="1:9" x14ac:dyDescent="0.15">
      <c r="A147" s="146">
        <v>36</v>
      </c>
      <c r="B147" s="433">
        <v>36</v>
      </c>
      <c r="C147" s="1005">
        <f>+'Statens skalatrin'!N111</f>
        <v>320074.68</v>
      </c>
      <c r="D147" s="1006"/>
      <c r="E147" s="217">
        <f t="shared" si="5"/>
        <v>26672.89</v>
      </c>
      <c r="F147" s="250">
        <f>ROUND(C147*(1+'Løntabel gældende fra'!$D$7/100),0)</f>
        <v>333661</v>
      </c>
      <c r="G147" s="219">
        <f t="shared" si="6"/>
        <v>27805.083333333332</v>
      </c>
      <c r="H147" s="217">
        <f t="shared" si="4"/>
        <v>4170.7624999999998</v>
      </c>
    </row>
    <row r="148" spans="1:9" x14ac:dyDescent="0.15">
      <c r="A148" s="146">
        <v>38</v>
      </c>
      <c r="B148" s="433">
        <v>38</v>
      </c>
      <c r="C148" s="1005">
        <f>+'Statens skalatrin'!N117</f>
        <v>333128.88</v>
      </c>
      <c r="D148" s="1006"/>
      <c r="E148" s="217">
        <f t="shared" si="5"/>
        <v>27760.74</v>
      </c>
      <c r="F148" s="250">
        <f>ROUND(C148*(1+'Løntabel gældende fra'!$D$7/100),0)</f>
        <v>347269</v>
      </c>
      <c r="G148" s="219">
        <f t="shared" si="6"/>
        <v>28939.083333333332</v>
      </c>
      <c r="H148" s="217">
        <f t="shared" si="4"/>
        <v>4340.8624999999993</v>
      </c>
    </row>
    <row r="149" spans="1:9" x14ac:dyDescent="0.15">
      <c r="A149" s="146">
        <v>40</v>
      </c>
      <c r="B149" s="433">
        <v>40</v>
      </c>
      <c r="C149" s="1005">
        <f>+'Statens skalatrin'!N123</f>
        <v>347027.46</v>
      </c>
      <c r="D149" s="1006"/>
      <c r="E149" s="217">
        <f t="shared" si="5"/>
        <v>28918.955000000002</v>
      </c>
      <c r="F149" s="250">
        <f>ROUND(C149*(1+'Løntabel gældende fra'!$D$7/100),0)</f>
        <v>361757</v>
      </c>
      <c r="G149" s="219">
        <f t="shared" si="6"/>
        <v>30146.416666666668</v>
      </c>
      <c r="H149" s="217">
        <f t="shared" si="4"/>
        <v>4521.9624999999996</v>
      </c>
    </row>
    <row r="150" spans="1:9" x14ac:dyDescent="0.15">
      <c r="A150" s="146">
        <v>41</v>
      </c>
      <c r="B150" s="433">
        <v>41</v>
      </c>
      <c r="C150" s="1005">
        <f>+'Statens skalatrin'!N126</f>
        <v>354249.23</v>
      </c>
      <c r="D150" s="1006"/>
      <c r="E150" s="217">
        <f t="shared" si="5"/>
        <v>29520.769166666665</v>
      </c>
      <c r="F150" s="250">
        <f>ROUND(C150*(1+'Løntabel gældende fra'!$D$7/100),0)</f>
        <v>369286</v>
      </c>
      <c r="G150" s="219">
        <f t="shared" si="6"/>
        <v>30773.833333333332</v>
      </c>
      <c r="H150" s="217">
        <f t="shared" si="4"/>
        <v>4616.0749999999998</v>
      </c>
    </row>
    <row r="151" spans="1:9" ht="15" thickBot="1" x14ac:dyDescent="0.2">
      <c r="A151" s="173">
        <v>42</v>
      </c>
      <c r="B151" s="452">
        <v>42</v>
      </c>
      <c r="C151" s="978">
        <f>+'Statens skalatrin'!N129</f>
        <v>361659.2</v>
      </c>
      <c r="D151" s="979"/>
      <c r="E151" s="432">
        <f t="shared" si="5"/>
        <v>30138.266666666666</v>
      </c>
      <c r="F151" s="251">
        <f>ROUND(C151*(1+'Løntabel gældende fra'!$D$7/100),0)</f>
        <v>377010</v>
      </c>
      <c r="G151" s="196">
        <f t="shared" si="6"/>
        <v>31417.5</v>
      </c>
      <c r="H151" s="218">
        <f t="shared" si="4"/>
        <v>4712.625</v>
      </c>
    </row>
    <row r="152" spans="1:9" hidden="1" x14ac:dyDescent="0.15">
      <c r="A152" s="7"/>
      <c r="B152" s="7"/>
      <c r="C152" s="7"/>
      <c r="D152" s="7"/>
      <c r="E152" s="7"/>
      <c r="F152" s="7"/>
      <c r="G152" s="7"/>
      <c r="H152" s="7"/>
      <c r="I152" s="7"/>
    </row>
    <row r="153" spans="1:9" s="78" customFormat="1" ht="10.5" customHeight="1" x14ac:dyDescent="0.2">
      <c r="A153" s="80"/>
      <c r="B153" s="80"/>
      <c r="C153" s="80"/>
      <c r="D153" s="81"/>
      <c r="E153" s="81"/>
      <c r="F153" s="61"/>
      <c r="G153" s="61"/>
      <c r="H153" s="61"/>
    </row>
    <row r="154" spans="1:9" s="78" customFormat="1" ht="15" x14ac:dyDescent="0.2">
      <c r="A154" s="619" t="s">
        <v>278</v>
      </c>
      <c r="B154" s="82"/>
      <c r="C154" s="82"/>
      <c r="D154" s="48"/>
      <c r="E154" s="48"/>
      <c r="F154" s="61"/>
      <c r="G154" s="61"/>
      <c r="H154" s="61"/>
    </row>
    <row r="155" spans="1:9" s="78" customFormat="1" ht="15" x14ac:dyDescent="0.2">
      <c r="A155" s="82" t="s">
        <v>279</v>
      </c>
      <c r="B155" s="82"/>
      <c r="C155" s="82"/>
      <c r="D155" s="614"/>
      <c r="E155" s="614"/>
      <c r="F155" s="61"/>
      <c r="G155" s="61"/>
      <c r="H155" s="61"/>
    </row>
    <row r="156" spans="1:9" s="78" customFormat="1" ht="15" x14ac:dyDescent="0.2">
      <c r="A156" s="926" t="s">
        <v>280</v>
      </c>
      <c r="B156" s="926"/>
      <c r="C156" s="926"/>
      <c r="D156" s="926"/>
      <c r="E156" s="926"/>
      <c r="F156" s="926"/>
      <c r="G156" s="926"/>
      <c r="H156" s="926"/>
    </row>
    <row r="157" spans="1:9" s="78" customFormat="1" ht="8" customHeight="1" x14ac:dyDescent="0.2">
      <c r="A157" s="926"/>
      <c r="B157" s="926"/>
      <c r="C157" s="926"/>
      <c r="D157" s="926"/>
      <c r="E157" s="926"/>
      <c r="F157" s="926"/>
      <c r="G157" s="926"/>
      <c r="H157" s="926"/>
    </row>
    <row r="158" spans="1:9" s="84" customFormat="1" ht="1" customHeight="1" x14ac:dyDescent="0.15">
      <c r="A158" s="1108" t="s">
        <v>296</v>
      </c>
      <c r="B158" s="1108"/>
      <c r="C158" s="1108"/>
      <c r="D158" s="1108"/>
      <c r="E158" s="1108"/>
      <c r="F158" s="1108"/>
      <c r="G158" s="1108"/>
      <c r="H158" s="1108"/>
      <c r="I158" s="83"/>
    </row>
    <row r="159" spans="1:9" s="78" customFormat="1" ht="15" x14ac:dyDescent="0.2">
      <c r="A159" s="1108"/>
      <c r="B159" s="1108"/>
      <c r="C159" s="1108"/>
      <c r="D159" s="1108"/>
      <c r="E159" s="1108"/>
      <c r="F159" s="1108"/>
      <c r="G159" s="1108"/>
      <c r="H159" s="1108"/>
    </row>
    <row r="160" spans="1:9" s="78" customFormat="1" ht="15" x14ac:dyDescent="0.2">
      <c r="A160" s="613" t="s">
        <v>295</v>
      </c>
      <c r="B160" s="613"/>
      <c r="C160" s="613"/>
      <c r="D160" s="85"/>
      <c r="E160" s="617"/>
      <c r="F160" s="618"/>
      <c r="G160" s="618"/>
      <c r="H160" s="618"/>
    </row>
    <row r="161" spans="1:9" s="78" customFormat="1" ht="15" x14ac:dyDescent="0.2">
      <c r="A161" s="87"/>
      <c r="B161" s="87"/>
      <c r="C161" s="87"/>
      <c r="D161" s="88"/>
      <c r="E161" s="86"/>
    </row>
    <row r="162" spans="1:9" s="78" customFormat="1" ht="15" x14ac:dyDescent="0.2">
      <c r="A162" s="87"/>
      <c r="B162" s="87"/>
      <c r="C162" s="87"/>
      <c r="D162" s="89"/>
      <c r="E162" s="90"/>
    </row>
    <row r="163" spans="1:9" x14ac:dyDescent="0.15">
      <c r="A163" s="7"/>
      <c r="B163" s="7"/>
      <c r="C163" s="7"/>
      <c r="D163" s="7"/>
      <c r="E163" s="7"/>
      <c r="F163" s="7"/>
      <c r="G163" s="7"/>
      <c r="H163" s="7"/>
      <c r="I163" s="7"/>
    </row>
    <row r="164" spans="1:9" x14ac:dyDescent="0.15">
      <c r="A164" s="7"/>
      <c r="B164" s="7"/>
      <c r="C164" s="7"/>
      <c r="D164" s="7"/>
      <c r="E164" s="7"/>
      <c r="F164" s="7"/>
      <c r="G164" s="7"/>
      <c r="H164" s="7"/>
      <c r="I164" s="7"/>
    </row>
    <row r="165" spans="1:9" x14ac:dyDescent="0.15">
      <c r="A165" s="7"/>
      <c r="B165" s="7"/>
      <c r="C165" s="7"/>
      <c r="D165" s="7"/>
      <c r="E165" s="7"/>
      <c r="F165" s="7"/>
      <c r="G165" s="7"/>
      <c r="H165" s="7"/>
      <c r="I165" s="7"/>
    </row>
    <row r="166" spans="1:9" x14ac:dyDescent="0.15">
      <c r="A166" s="7"/>
      <c r="B166" s="7"/>
      <c r="C166" s="7"/>
      <c r="D166" s="7"/>
      <c r="E166" s="7"/>
      <c r="F166" s="7"/>
      <c r="G166" s="7"/>
      <c r="H166" s="7"/>
      <c r="I166" s="7"/>
    </row>
    <row r="167" spans="1:9" x14ac:dyDescent="0.15">
      <c r="A167" s="7"/>
      <c r="B167" s="7"/>
      <c r="C167" s="7"/>
      <c r="D167" s="7"/>
      <c r="E167" s="7"/>
      <c r="F167" s="7"/>
      <c r="G167" s="7"/>
      <c r="H167" s="7"/>
      <c r="I167" s="7"/>
    </row>
    <row r="168" spans="1:9" x14ac:dyDescent="0.15">
      <c r="A168" s="7"/>
      <c r="B168" s="7"/>
      <c r="C168" s="7"/>
      <c r="D168" s="7"/>
      <c r="E168" s="7"/>
      <c r="F168" s="7"/>
      <c r="G168" s="7"/>
      <c r="H168" s="7"/>
      <c r="I168" s="7"/>
    </row>
    <row r="169" spans="1:9" x14ac:dyDescent="0.15">
      <c r="A169" s="7"/>
      <c r="B169" s="7"/>
      <c r="C169" s="7"/>
      <c r="D169" s="7"/>
      <c r="E169" s="7"/>
      <c r="F169" s="7"/>
      <c r="G169" s="7"/>
      <c r="H169" s="7"/>
      <c r="I169" s="7"/>
    </row>
    <row r="170" spans="1:9" x14ac:dyDescent="0.15">
      <c r="A170" s="7"/>
      <c r="B170" s="7"/>
      <c r="C170" s="7"/>
      <c r="D170" s="7"/>
      <c r="E170" s="7"/>
      <c r="F170" s="7"/>
      <c r="G170" s="7"/>
      <c r="H170" s="7"/>
      <c r="I170" s="7"/>
    </row>
    <row r="171" spans="1:9" x14ac:dyDescent="0.15">
      <c r="A171" s="7"/>
      <c r="B171" s="7"/>
      <c r="C171" s="7"/>
      <c r="D171" s="7"/>
      <c r="E171" s="7"/>
      <c r="F171" s="7"/>
      <c r="G171" s="7"/>
      <c r="H171" s="7"/>
      <c r="I171" s="7"/>
    </row>
    <row r="172" spans="1:9" x14ac:dyDescent="0.15">
      <c r="A172" s="7"/>
      <c r="B172" s="7"/>
      <c r="C172" s="7"/>
      <c r="D172" s="7"/>
      <c r="E172" s="7"/>
      <c r="F172" s="7"/>
      <c r="G172" s="7"/>
      <c r="H172" s="7"/>
      <c r="I172" s="7"/>
    </row>
    <row r="173" spans="1:9" x14ac:dyDescent="0.15">
      <c r="A173" s="7"/>
      <c r="B173" s="7"/>
      <c r="C173" s="7"/>
      <c r="D173" s="7"/>
      <c r="E173" s="7"/>
      <c r="F173" s="7"/>
      <c r="G173" s="7"/>
      <c r="H173" s="7"/>
      <c r="I173" s="7"/>
    </row>
    <row r="174" spans="1:9" x14ac:dyDescent="0.15">
      <c r="A174" s="7"/>
      <c r="B174" s="7"/>
      <c r="C174" s="7"/>
      <c r="D174" s="7"/>
      <c r="E174" s="7"/>
      <c r="F174" s="7"/>
      <c r="G174" s="7"/>
      <c r="H174" s="7"/>
      <c r="I174" s="7"/>
    </row>
    <row r="175" spans="1:9" x14ac:dyDescent="0.15">
      <c r="A175" s="7"/>
      <c r="B175" s="7"/>
      <c r="C175" s="7"/>
      <c r="D175" s="7"/>
      <c r="E175" s="7"/>
      <c r="F175" s="7"/>
      <c r="G175" s="7"/>
      <c r="H175" s="7"/>
      <c r="I175" s="7"/>
    </row>
    <row r="176" spans="1:9" x14ac:dyDescent="0.15">
      <c r="A176" s="7"/>
      <c r="B176" s="7"/>
      <c r="C176" s="7"/>
      <c r="D176" s="7"/>
      <c r="E176" s="7"/>
      <c r="F176" s="7"/>
      <c r="G176" s="7"/>
      <c r="H176" s="7"/>
      <c r="I176" s="7"/>
    </row>
    <row r="177" spans="1:9" x14ac:dyDescent="0.15">
      <c r="A177" s="7"/>
      <c r="B177" s="7"/>
      <c r="C177" s="7"/>
      <c r="D177" s="7"/>
      <c r="E177" s="7"/>
      <c r="F177" s="7"/>
      <c r="G177" s="7"/>
      <c r="H177" s="7"/>
      <c r="I177" s="7"/>
    </row>
    <row r="178" spans="1:9" x14ac:dyDescent="0.15">
      <c r="A178" s="7"/>
      <c r="B178" s="7"/>
      <c r="C178" s="7"/>
      <c r="D178" s="7"/>
      <c r="E178" s="7"/>
      <c r="F178" s="7"/>
      <c r="G178" s="7"/>
      <c r="H178" s="7"/>
      <c r="I178" s="7"/>
    </row>
    <row r="179" spans="1:9" x14ac:dyDescent="0.15">
      <c r="A179" s="7"/>
      <c r="B179" s="7"/>
      <c r="C179" s="7"/>
      <c r="D179" s="7"/>
      <c r="E179" s="7"/>
      <c r="F179" s="7"/>
      <c r="G179" s="7"/>
      <c r="H179" s="7"/>
      <c r="I179" s="7"/>
    </row>
    <row r="180" spans="1:9" x14ac:dyDescent="0.15">
      <c r="A180" s="7"/>
      <c r="B180" s="7"/>
      <c r="C180" s="7"/>
      <c r="D180" s="7"/>
      <c r="E180" s="7"/>
      <c r="F180" s="7"/>
      <c r="G180" s="7"/>
      <c r="H180" s="7"/>
      <c r="I180" s="7"/>
    </row>
    <row r="181" spans="1:9" x14ac:dyDescent="0.15">
      <c r="A181" s="7"/>
      <c r="B181" s="7"/>
      <c r="C181" s="7"/>
      <c r="D181" s="7"/>
      <c r="E181" s="7"/>
      <c r="F181" s="7"/>
      <c r="G181" s="7"/>
      <c r="H181" s="7"/>
      <c r="I181" s="7"/>
    </row>
    <row r="182" spans="1:9" x14ac:dyDescent="0.15">
      <c r="A182" s="7"/>
      <c r="B182" s="7"/>
      <c r="C182" s="7"/>
      <c r="D182" s="7"/>
      <c r="E182" s="7"/>
      <c r="F182" s="7"/>
      <c r="G182" s="7"/>
      <c r="H182" s="7"/>
      <c r="I182" s="7"/>
    </row>
    <row r="183" spans="1:9" x14ac:dyDescent="0.15">
      <c r="A183" s="7"/>
      <c r="B183" s="7"/>
      <c r="C183" s="7"/>
      <c r="D183" s="7"/>
      <c r="E183" s="7"/>
      <c r="F183" s="7"/>
      <c r="G183" s="7"/>
      <c r="H183" s="7"/>
      <c r="I183" s="7"/>
    </row>
    <row r="184" spans="1:9" x14ac:dyDescent="0.15">
      <c r="A184" s="7"/>
      <c r="B184" s="7"/>
      <c r="C184" s="7"/>
      <c r="D184" s="7"/>
      <c r="E184" s="7"/>
      <c r="F184" s="7"/>
      <c r="G184" s="7"/>
      <c r="H184" s="7"/>
      <c r="I184" s="7"/>
    </row>
    <row r="185" spans="1:9" x14ac:dyDescent="0.15">
      <c r="A185" s="7"/>
      <c r="B185" s="7"/>
      <c r="C185" s="7"/>
      <c r="D185" s="7"/>
      <c r="E185" s="7"/>
      <c r="F185" s="7"/>
      <c r="G185" s="7"/>
      <c r="H185" s="7"/>
      <c r="I185" s="7"/>
    </row>
    <row r="186" spans="1:9" x14ac:dyDescent="0.15">
      <c r="A186" s="7"/>
      <c r="B186" s="7"/>
      <c r="C186" s="7"/>
      <c r="D186" s="7"/>
      <c r="E186" s="7"/>
      <c r="F186" s="7"/>
      <c r="G186" s="7"/>
      <c r="H186" s="7"/>
      <c r="I186" s="7"/>
    </row>
    <row r="187" spans="1:9" x14ac:dyDescent="0.15">
      <c r="A187" s="7"/>
      <c r="B187" s="7"/>
      <c r="C187" s="7"/>
      <c r="D187" s="7"/>
      <c r="E187" s="7"/>
      <c r="F187" s="7"/>
      <c r="G187" s="7"/>
      <c r="H187" s="7"/>
      <c r="I187" s="7"/>
    </row>
    <row r="188" spans="1:9" x14ac:dyDescent="0.15">
      <c r="A188" s="7"/>
      <c r="B188" s="7"/>
      <c r="C188" s="7"/>
      <c r="D188" s="7"/>
      <c r="E188" s="7"/>
      <c r="F188" s="7"/>
      <c r="G188" s="7"/>
      <c r="H188" s="7"/>
      <c r="I188" s="7"/>
    </row>
    <row r="189" spans="1:9" x14ac:dyDescent="0.15">
      <c r="A189" s="7"/>
      <c r="B189" s="7"/>
      <c r="C189" s="7"/>
      <c r="D189" s="7"/>
      <c r="E189" s="7"/>
      <c r="F189" s="7"/>
      <c r="G189" s="7"/>
      <c r="H189" s="7"/>
      <c r="I189" s="7"/>
    </row>
    <row r="190" spans="1:9" x14ac:dyDescent="0.15">
      <c r="A190" s="7"/>
      <c r="B190" s="7"/>
      <c r="C190" s="7"/>
      <c r="D190" s="7"/>
      <c r="E190" s="7"/>
      <c r="F190" s="7"/>
      <c r="G190" s="7"/>
      <c r="H190" s="7"/>
      <c r="I190" s="7"/>
    </row>
    <row r="191" spans="1:9" x14ac:dyDescent="0.15">
      <c r="A191" s="7"/>
      <c r="B191" s="7"/>
      <c r="C191" s="7"/>
      <c r="D191" s="7"/>
      <c r="E191" s="7"/>
      <c r="F191" s="7"/>
      <c r="G191" s="7"/>
      <c r="H191" s="7"/>
      <c r="I191" s="7"/>
    </row>
    <row r="192" spans="1:9" x14ac:dyDescent="0.15">
      <c r="A192" s="7"/>
      <c r="B192" s="7"/>
      <c r="C192" s="7"/>
      <c r="D192" s="7"/>
      <c r="E192" s="7"/>
      <c r="F192" s="7"/>
      <c r="G192" s="7"/>
      <c r="H192" s="7"/>
      <c r="I192" s="7"/>
    </row>
    <row r="193" spans="1:9" x14ac:dyDescent="0.15">
      <c r="A193" s="7"/>
      <c r="B193" s="7"/>
      <c r="C193" s="7"/>
      <c r="D193" s="7"/>
      <c r="E193" s="7"/>
      <c r="F193" s="7"/>
      <c r="G193" s="7"/>
      <c r="H193" s="7"/>
      <c r="I193" s="7"/>
    </row>
    <row r="194" spans="1:9" x14ac:dyDescent="0.15">
      <c r="A194" s="7"/>
      <c r="B194" s="7"/>
      <c r="C194" s="7"/>
      <c r="D194" s="7"/>
      <c r="E194" s="7"/>
      <c r="F194" s="7"/>
      <c r="G194" s="7"/>
      <c r="H194" s="7"/>
      <c r="I194" s="7"/>
    </row>
    <row r="195" spans="1:9" x14ac:dyDescent="0.15">
      <c r="A195" s="7"/>
      <c r="B195" s="7"/>
      <c r="C195" s="7"/>
      <c r="D195" s="7"/>
      <c r="E195" s="7"/>
      <c r="F195" s="7"/>
      <c r="G195" s="7"/>
      <c r="H195" s="7"/>
      <c r="I195" s="7"/>
    </row>
    <row r="196" spans="1:9" x14ac:dyDescent="0.15">
      <c r="A196" s="7"/>
      <c r="B196" s="7"/>
      <c r="C196" s="7"/>
      <c r="D196" s="7"/>
      <c r="E196" s="7"/>
      <c r="F196" s="7"/>
      <c r="G196" s="7"/>
      <c r="H196" s="7"/>
      <c r="I196" s="7"/>
    </row>
    <row r="197" spans="1:9" x14ac:dyDescent="0.15">
      <c r="A197" s="7"/>
      <c r="B197" s="7"/>
      <c r="C197" s="7"/>
      <c r="D197" s="7"/>
      <c r="E197" s="7"/>
      <c r="F197" s="7"/>
      <c r="G197" s="7"/>
      <c r="H197" s="7"/>
      <c r="I197" s="7"/>
    </row>
    <row r="198" spans="1:9" x14ac:dyDescent="0.15">
      <c r="A198" s="7"/>
      <c r="B198" s="7"/>
      <c r="C198" s="7"/>
      <c r="D198" s="7"/>
      <c r="E198" s="7"/>
      <c r="F198" s="7"/>
      <c r="G198" s="7"/>
      <c r="H198" s="7"/>
      <c r="I198" s="7"/>
    </row>
    <row r="199" spans="1:9" x14ac:dyDescent="0.15">
      <c r="A199" s="7"/>
      <c r="B199" s="7"/>
      <c r="C199" s="7"/>
      <c r="D199" s="7"/>
      <c r="E199" s="7"/>
      <c r="F199" s="7"/>
      <c r="G199" s="7"/>
      <c r="H199" s="7"/>
      <c r="I199" s="7"/>
    </row>
    <row r="200" spans="1:9" x14ac:dyDescent="0.15">
      <c r="A200" s="7"/>
      <c r="B200" s="7"/>
      <c r="C200" s="7"/>
      <c r="D200" s="7"/>
      <c r="E200" s="7"/>
      <c r="F200" s="7"/>
      <c r="G200" s="7"/>
      <c r="H200" s="7"/>
      <c r="I200" s="7"/>
    </row>
    <row r="201" spans="1:9" x14ac:dyDescent="0.15">
      <c r="A201" s="7"/>
      <c r="B201" s="7"/>
      <c r="C201" s="7"/>
      <c r="D201" s="7"/>
      <c r="E201" s="7"/>
      <c r="F201" s="7"/>
      <c r="G201" s="7"/>
      <c r="H201" s="7"/>
      <c r="I201" s="7"/>
    </row>
    <row r="202" spans="1:9" x14ac:dyDescent="0.15">
      <c r="A202" s="7"/>
      <c r="B202" s="7"/>
      <c r="C202" s="7"/>
      <c r="D202" s="7"/>
      <c r="E202" s="7"/>
      <c r="F202" s="7"/>
      <c r="G202" s="7"/>
      <c r="H202" s="7"/>
      <c r="I202" s="7"/>
    </row>
    <row r="203" spans="1:9" x14ac:dyDescent="0.15">
      <c r="A203" s="7"/>
      <c r="B203" s="7"/>
      <c r="C203" s="7"/>
      <c r="D203" s="7"/>
      <c r="E203" s="7"/>
      <c r="F203" s="7"/>
      <c r="G203" s="7"/>
      <c r="H203" s="7"/>
      <c r="I203" s="7"/>
    </row>
    <row r="204" spans="1:9" x14ac:dyDescent="0.15">
      <c r="A204" s="7"/>
      <c r="B204" s="7"/>
      <c r="C204" s="7"/>
      <c r="D204" s="7"/>
      <c r="E204" s="7"/>
      <c r="F204" s="7"/>
      <c r="G204" s="7"/>
      <c r="H204" s="7"/>
      <c r="I204" s="7"/>
    </row>
    <row r="205" spans="1:9" x14ac:dyDescent="0.1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1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1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15">
      <c r="A208" s="1"/>
      <c r="B208" s="1"/>
      <c r="C208" s="1"/>
      <c r="D208" s="1"/>
      <c r="E208" s="1"/>
      <c r="F208" s="1"/>
      <c r="G208" s="1"/>
      <c r="H208" s="1"/>
      <c r="I208" s="1"/>
    </row>
  </sheetData>
  <sheetProtection sheet="1" objects="1" scenarios="1"/>
  <mergeCells count="198">
    <mergeCell ref="D85:E85"/>
    <mergeCell ref="F85:G85"/>
    <mergeCell ref="A84:C85"/>
    <mergeCell ref="A42:G42"/>
    <mergeCell ref="A59:I59"/>
    <mergeCell ref="A65:I65"/>
    <mergeCell ref="A71:I71"/>
    <mergeCell ref="D81:E81"/>
    <mergeCell ref="F81:G81"/>
    <mergeCell ref="A80:C81"/>
    <mergeCell ref="A66:G67"/>
    <mergeCell ref="D47:E47"/>
    <mergeCell ref="D52:E52"/>
    <mergeCell ref="B45:C45"/>
    <mergeCell ref="F84:G84"/>
    <mergeCell ref="B53:C53"/>
    <mergeCell ref="D53:E53"/>
    <mergeCell ref="F45:G45"/>
    <mergeCell ref="F46:G46"/>
    <mergeCell ref="A58:I58"/>
    <mergeCell ref="F47:G47"/>
    <mergeCell ref="F54:G54"/>
    <mergeCell ref="F55:G55"/>
    <mergeCell ref="F56:G56"/>
    <mergeCell ref="A156:H157"/>
    <mergeCell ref="A158:H159"/>
    <mergeCell ref="A51:A52"/>
    <mergeCell ref="D80:E80"/>
    <mergeCell ref="A91:C91"/>
    <mergeCell ref="F91:G91"/>
    <mergeCell ref="A26:I26"/>
    <mergeCell ref="B56:C56"/>
    <mergeCell ref="D56:E56"/>
    <mergeCell ref="B46:C46"/>
    <mergeCell ref="B55:C55"/>
    <mergeCell ref="D55:E55"/>
    <mergeCell ref="F51:G51"/>
    <mergeCell ref="F52:G52"/>
    <mergeCell ref="F53:G53"/>
    <mergeCell ref="A33:I33"/>
    <mergeCell ref="A96:H96"/>
    <mergeCell ref="C27:E27"/>
    <mergeCell ref="A72:G73"/>
    <mergeCell ref="A74:G74"/>
    <mergeCell ref="A75:G75"/>
    <mergeCell ref="F34:I34"/>
    <mergeCell ref="C136:D136"/>
    <mergeCell ref="B47:C47"/>
    <mergeCell ref="N4:V4"/>
    <mergeCell ref="A3:I3"/>
    <mergeCell ref="A25:I25"/>
    <mergeCell ref="A5:H5"/>
    <mergeCell ref="F17:H17"/>
    <mergeCell ref="B7:B9"/>
    <mergeCell ref="A7:A9"/>
    <mergeCell ref="A34:A35"/>
    <mergeCell ref="A15:H15"/>
    <mergeCell ref="C18:C19"/>
    <mergeCell ref="F18:F19"/>
    <mergeCell ref="F7:H7"/>
    <mergeCell ref="B34:E34"/>
    <mergeCell ref="A31:I31"/>
    <mergeCell ref="A6:H6"/>
    <mergeCell ref="A16:H16"/>
    <mergeCell ref="A32:I32"/>
    <mergeCell ref="A1:I1"/>
    <mergeCell ref="A43:A44"/>
    <mergeCell ref="C7:E7"/>
    <mergeCell ref="C17:E17"/>
    <mergeCell ref="F27:I27"/>
    <mergeCell ref="B43:C43"/>
    <mergeCell ref="D43:E43"/>
    <mergeCell ref="B44:C44"/>
    <mergeCell ref="D44:E44"/>
    <mergeCell ref="A27:B27"/>
    <mergeCell ref="A17:B23"/>
    <mergeCell ref="A2:I2"/>
    <mergeCell ref="A29:B29"/>
    <mergeCell ref="A28:B28"/>
    <mergeCell ref="C28:E28"/>
    <mergeCell ref="C29:E29"/>
    <mergeCell ref="F28:I28"/>
    <mergeCell ref="F29:I29"/>
    <mergeCell ref="F43:G43"/>
    <mergeCell ref="F44:G44"/>
    <mergeCell ref="A41:G41"/>
    <mergeCell ref="A89:G89"/>
    <mergeCell ref="A68:G68"/>
    <mergeCell ref="A76:I76"/>
    <mergeCell ref="A77:I77"/>
    <mergeCell ref="A70:I70"/>
    <mergeCell ref="B99:C100"/>
    <mergeCell ref="A99:A100"/>
    <mergeCell ref="D99:F99"/>
    <mergeCell ref="F103:G103"/>
    <mergeCell ref="F102:G102"/>
    <mergeCell ref="F93:G93"/>
    <mergeCell ref="D91:E91"/>
    <mergeCell ref="A92:C92"/>
    <mergeCell ref="B102:C102"/>
    <mergeCell ref="D102:E102"/>
    <mergeCell ref="B101:C101"/>
    <mergeCell ref="B103:C103"/>
    <mergeCell ref="D100:E100"/>
    <mergeCell ref="D84:E84"/>
    <mergeCell ref="D90:E90"/>
    <mergeCell ref="F101:G101"/>
    <mergeCell ref="A98:H98"/>
    <mergeCell ref="D93:E93"/>
    <mergeCell ref="D92:E92"/>
    <mergeCell ref="C151:D151"/>
    <mergeCell ref="C143:D143"/>
    <mergeCell ref="C144:D144"/>
    <mergeCell ref="C146:D146"/>
    <mergeCell ref="C147:D147"/>
    <mergeCell ref="C148:D148"/>
    <mergeCell ref="C138:D138"/>
    <mergeCell ref="C139:D139"/>
    <mergeCell ref="C140:D140"/>
    <mergeCell ref="C141:D141"/>
    <mergeCell ref="C142:D142"/>
    <mergeCell ref="C149:D149"/>
    <mergeCell ref="C145:D145"/>
    <mergeCell ref="C150:D150"/>
    <mergeCell ref="C137:D137"/>
    <mergeCell ref="B132:C132"/>
    <mergeCell ref="D132:E132"/>
    <mergeCell ref="A105:H105"/>
    <mergeCell ref="F100:G100"/>
    <mergeCell ref="C120:D120"/>
    <mergeCell ref="C111:D111"/>
    <mergeCell ref="F129:G129"/>
    <mergeCell ref="C113:D113"/>
    <mergeCell ref="C114:D114"/>
    <mergeCell ref="C115:D115"/>
    <mergeCell ref="B127:C128"/>
    <mergeCell ref="D128:E128"/>
    <mergeCell ref="F128:G128"/>
    <mergeCell ref="A124:H124"/>
    <mergeCell ref="A125:H125"/>
    <mergeCell ref="C112:D112"/>
    <mergeCell ref="A134:A136"/>
    <mergeCell ref="B134:B136"/>
    <mergeCell ref="C134:E134"/>
    <mergeCell ref="F134:G134"/>
    <mergeCell ref="B130:C130"/>
    <mergeCell ref="D130:E130"/>
    <mergeCell ref="D127:F127"/>
    <mergeCell ref="A49:G49"/>
    <mergeCell ref="B54:C54"/>
    <mergeCell ref="D54:E54"/>
    <mergeCell ref="B51:C51"/>
    <mergeCell ref="D51:E51"/>
    <mergeCell ref="B52:C52"/>
    <mergeCell ref="A50:G50"/>
    <mergeCell ref="A79:G79"/>
    <mergeCell ref="F80:G80"/>
    <mergeCell ref="D45:E45"/>
    <mergeCell ref="A64:I64"/>
    <mergeCell ref="D46:E46"/>
    <mergeCell ref="A60:F62"/>
    <mergeCell ref="H134:H135"/>
    <mergeCell ref="F132:G132"/>
    <mergeCell ref="C110:D110"/>
    <mergeCell ref="B129:C129"/>
    <mergeCell ref="D129:E129"/>
    <mergeCell ref="C121:D121"/>
    <mergeCell ref="C122:D122"/>
    <mergeCell ref="C116:D116"/>
    <mergeCell ref="C117:D117"/>
    <mergeCell ref="C118:D118"/>
    <mergeCell ref="C119:D119"/>
    <mergeCell ref="F130:G130"/>
    <mergeCell ref="B131:C131"/>
    <mergeCell ref="D131:E131"/>
    <mergeCell ref="F131:G131"/>
    <mergeCell ref="C135:E135"/>
    <mergeCell ref="F135:G135"/>
    <mergeCell ref="A133:H133"/>
    <mergeCell ref="A127:A128"/>
    <mergeCell ref="A126:H126"/>
    <mergeCell ref="F90:G90"/>
    <mergeCell ref="F92:G92"/>
    <mergeCell ref="A97:H97"/>
    <mergeCell ref="C109:D109"/>
    <mergeCell ref="C106:E106"/>
    <mergeCell ref="F106:G106"/>
    <mergeCell ref="C107:E107"/>
    <mergeCell ref="F107:G107"/>
    <mergeCell ref="F104:G104"/>
    <mergeCell ref="H106:H107"/>
    <mergeCell ref="A106:A108"/>
    <mergeCell ref="B106:B108"/>
    <mergeCell ref="C108:D108"/>
    <mergeCell ref="B104:C104"/>
    <mergeCell ref="D101:E101"/>
    <mergeCell ref="D103:E103"/>
    <mergeCell ref="D104:E104"/>
  </mergeCells>
  <phoneticPr fontId="6" type="noConversion"/>
  <pageMargins left="0.43307086614173229" right="0.39370078740157483" top="0.39370078740157483" bottom="0.39370078740157483" header="0.19685039370078741" footer="7.874015748031496E-2"/>
  <pageSetup paperSize="9" scale="71" orientation="portrait" r:id="rId1"/>
  <headerFooter>
    <oddFooter>&amp;C&amp;"Times New Roman,Normal"&amp;8&amp;K000000Løntabel for Lærere og Børnehaveklasseledere&amp;R&amp;"Times New Roman,Normal"&amp;8&amp;K000000Side &amp;Paf i alt &amp;N sider</oddFooter>
  </headerFooter>
  <rowBreaks count="3" manualBreakCount="3">
    <brk id="56" max="16383" man="1"/>
    <brk id="94" max="16383" man="1"/>
    <brk id="1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view="pageBreakPreview" topLeftCell="A38" zoomScaleSheetLayoutView="125" workbookViewId="0">
      <selection activeCell="B54" sqref="B54"/>
    </sheetView>
  </sheetViews>
  <sheetFormatPr baseColWidth="10" defaultColWidth="8.83203125" defaultRowHeight="14" x14ac:dyDescent="0.15"/>
  <cols>
    <col min="1" max="1" width="21.6640625" style="2" customWidth="1"/>
    <col min="2" max="2" width="20.6640625" style="2" customWidth="1"/>
    <col min="3" max="3" width="14" style="2" customWidth="1"/>
    <col min="4" max="4" width="21.6640625" style="2" customWidth="1"/>
    <col min="5" max="5" width="17.1640625" style="2" customWidth="1"/>
    <col min="6" max="6" width="21.33203125" style="2" customWidth="1"/>
    <col min="7" max="7" width="0.1640625" style="2" customWidth="1"/>
    <col min="8" max="8" width="17.1640625" style="2" hidden="1" customWidth="1"/>
    <col min="9" max="9" width="26.6640625" style="2" hidden="1" customWidth="1"/>
    <col min="10" max="16384" width="8.83203125" style="2"/>
  </cols>
  <sheetData>
    <row r="1" spans="1:16" ht="33" customHeight="1" x14ac:dyDescent="0.2">
      <c r="A1" s="1057" t="s">
        <v>20</v>
      </c>
      <c r="B1" s="1058"/>
      <c r="C1" s="1058"/>
      <c r="D1" s="1058"/>
      <c r="E1" s="1058"/>
      <c r="F1" s="1058"/>
      <c r="G1" s="1059"/>
      <c r="H1" s="44"/>
    </row>
    <row r="2" spans="1:16" ht="32" customHeight="1" x14ac:dyDescent="0.2">
      <c r="A2" s="1072" t="s">
        <v>112</v>
      </c>
      <c r="B2" s="1073"/>
      <c r="C2" s="1073"/>
      <c r="D2" s="1073"/>
      <c r="E2" s="1073"/>
      <c r="F2" s="1073"/>
      <c r="G2" s="1074"/>
    </row>
    <row r="3" spans="1:16" ht="33" customHeight="1" thickBot="1" x14ac:dyDescent="0.25">
      <c r="A3" s="1177" t="str">
        <f>'Forside 1'!A6:I6</f>
        <v>Gældende for perioden: 1. april 2017 til 30. november 2017</v>
      </c>
      <c r="B3" s="1178"/>
      <c r="C3" s="1178"/>
      <c r="D3" s="1178"/>
      <c r="E3" s="1178"/>
      <c r="F3" s="1178"/>
      <c r="G3" s="1179"/>
    </row>
    <row r="4" spans="1:16" ht="20" customHeight="1" thickBot="1" x14ac:dyDescent="0.25">
      <c r="A4" s="46"/>
      <c r="B4" s="46"/>
      <c r="C4" s="46"/>
      <c r="D4" s="46"/>
      <c r="E4" s="46"/>
      <c r="F4" s="46"/>
      <c r="G4" s="46"/>
      <c r="N4" s="1160"/>
      <c r="O4" s="1160"/>
      <c r="P4" s="1160"/>
    </row>
    <row r="5" spans="1:16" ht="18" customHeight="1" x14ac:dyDescent="0.15">
      <c r="A5" s="1028" t="s">
        <v>113</v>
      </c>
      <c r="B5" s="1029"/>
      <c r="C5" s="1029"/>
      <c r="D5" s="1029"/>
      <c r="E5" s="1029"/>
      <c r="F5" s="1030"/>
      <c r="G5" s="95"/>
      <c r="N5" s="1161"/>
      <c r="O5" s="1161"/>
      <c r="P5" s="1161"/>
    </row>
    <row r="6" spans="1:16" ht="14" customHeight="1" x14ac:dyDescent="0.15">
      <c r="A6" s="1172"/>
      <c r="B6" s="1173"/>
      <c r="C6" s="1173"/>
      <c r="D6" s="1173"/>
      <c r="E6" s="1173"/>
      <c r="F6" s="1174"/>
      <c r="G6" s="95"/>
      <c r="N6" s="1162"/>
      <c r="O6" s="1162"/>
      <c r="P6" s="1162"/>
    </row>
    <row r="7" spans="1:16" ht="14" customHeight="1" thickBot="1" x14ac:dyDescent="0.2">
      <c r="A7" s="1102" t="s">
        <v>373</v>
      </c>
      <c r="B7" s="1103"/>
      <c r="C7" s="1103"/>
      <c r="D7" s="1103"/>
      <c r="E7" s="1103"/>
      <c r="F7" s="1104"/>
      <c r="G7" s="95"/>
      <c r="N7" s="687"/>
      <c r="O7" s="687"/>
      <c r="P7" s="687"/>
    </row>
    <row r="8" spans="1:16" customFormat="1" ht="15" customHeight="1" x14ac:dyDescent="0.2">
      <c r="A8" s="1186"/>
      <c r="B8" s="1187"/>
      <c r="C8" s="1159" t="s">
        <v>141</v>
      </c>
      <c r="D8" s="964"/>
      <c r="E8" s="1159" t="s">
        <v>435</v>
      </c>
      <c r="F8" s="964"/>
      <c r="G8" s="79"/>
      <c r="H8" s="40"/>
    </row>
    <row r="9" spans="1:16" customFormat="1" ht="15" customHeight="1" thickBot="1" x14ac:dyDescent="0.25">
      <c r="A9" s="1188"/>
      <c r="B9" s="1189"/>
      <c r="C9" s="1154">
        <v>40999</v>
      </c>
      <c r="D9" s="1155"/>
      <c r="E9" s="1156" t="str">
        <f>'Løntabel gældende fra'!D1</f>
        <v>01/04/17</v>
      </c>
      <c r="F9" s="1155"/>
      <c r="G9" s="445"/>
      <c r="H9" s="40"/>
    </row>
    <row r="10" spans="1:16" customFormat="1" ht="24" customHeight="1" thickBot="1" x14ac:dyDescent="0.25">
      <c r="A10" s="1184" t="s">
        <v>121</v>
      </c>
      <c r="B10" s="1185"/>
      <c r="C10" s="1157" t="s">
        <v>385</v>
      </c>
      <c r="D10" s="1158"/>
      <c r="E10" s="1157" t="s">
        <v>385</v>
      </c>
      <c r="F10" s="1158"/>
      <c r="G10" s="445"/>
      <c r="H10" s="40"/>
    </row>
    <row r="11" spans="1:16" customFormat="1" ht="17" customHeight="1" x14ac:dyDescent="0.2">
      <c r="A11" s="1182" t="s">
        <v>122</v>
      </c>
      <c r="B11" s="1183"/>
      <c r="C11" s="122">
        <v>368295</v>
      </c>
      <c r="D11" s="123">
        <v>438154</v>
      </c>
      <c r="E11" s="122">
        <f>C11+C11*'Løntabel gældende fra'!$D$7%</f>
        <v>383927.64957000001</v>
      </c>
      <c r="F11" s="124">
        <f>D11+D11*'Løntabel gældende fra'!$D$7%</f>
        <v>456751.88468399999</v>
      </c>
      <c r="G11" s="61"/>
      <c r="H11" s="40"/>
    </row>
    <row r="12" spans="1:16" customFormat="1" ht="17" customHeight="1" x14ac:dyDescent="0.2">
      <c r="A12" s="1175" t="s">
        <v>123</v>
      </c>
      <c r="B12" s="1176"/>
      <c r="C12" s="125">
        <v>403683</v>
      </c>
      <c r="D12" s="116">
        <v>484027</v>
      </c>
      <c r="E12" s="126">
        <f>C12+C12*'Løntabel gældende fra'!$D$7%</f>
        <v>420817.72861799999</v>
      </c>
      <c r="F12" s="117">
        <f>D12+D12*'Løntabel gældende fra'!$D$7%</f>
        <v>504572.01004199998</v>
      </c>
      <c r="G12" s="61"/>
      <c r="H12" s="40"/>
    </row>
    <row r="13" spans="1:16" customFormat="1" ht="17" customHeight="1" thickBot="1" x14ac:dyDescent="0.25">
      <c r="A13" s="1180" t="s">
        <v>124</v>
      </c>
      <c r="B13" s="1181"/>
      <c r="C13" s="127">
        <v>439071</v>
      </c>
      <c r="D13" s="128">
        <v>528589</v>
      </c>
      <c r="E13" s="127">
        <f>C13+C13*'Løntabel gældende fra'!$D$7%</f>
        <v>457707.80766599998</v>
      </c>
      <c r="F13" s="129">
        <f>D13+D13*'Løntabel gældende fra'!$D$7%</f>
        <v>551025.48869400006</v>
      </c>
      <c r="G13" s="61"/>
      <c r="H13" s="40"/>
    </row>
    <row r="14" spans="1:16" s="65" customFormat="1" ht="26" customHeight="1" thickBot="1" x14ac:dyDescent="0.2">
      <c r="A14" s="94"/>
      <c r="B14" s="94"/>
      <c r="C14" s="94"/>
      <c r="D14" s="94"/>
      <c r="E14" s="94"/>
      <c r="F14" s="94"/>
      <c r="G14" s="94"/>
      <c r="H14" s="84"/>
    </row>
    <row r="15" spans="1:16" ht="18" customHeight="1" x14ac:dyDescent="0.15">
      <c r="A15" s="1028" t="s">
        <v>125</v>
      </c>
      <c r="B15" s="1029"/>
      <c r="C15" s="1029"/>
      <c r="D15" s="1029"/>
      <c r="E15" s="1029"/>
      <c r="F15" s="1030"/>
      <c r="G15" s="95"/>
      <c r="H15" s="29"/>
    </row>
    <row r="16" spans="1:16" ht="14" customHeight="1" x14ac:dyDescent="0.15">
      <c r="A16" s="1172"/>
      <c r="B16" s="1173"/>
      <c r="C16" s="1173"/>
      <c r="D16" s="1173"/>
      <c r="E16" s="1173"/>
      <c r="F16" s="1174"/>
      <c r="G16" s="95"/>
      <c r="H16" s="29"/>
    </row>
    <row r="17" spans="1:16" ht="14" customHeight="1" thickBot="1" x14ac:dyDescent="0.2">
      <c r="A17" s="1102" t="s">
        <v>373</v>
      </c>
      <c r="B17" s="1103"/>
      <c r="C17" s="1103"/>
      <c r="D17" s="1103"/>
      <c r="E17" s="1103"/>
      <c r="F17" s="1104"/>
      <c r="G17" s="95"/>
      <c r="N17" s="687"/>
      <c r="O17" s="687"/>
      <c r="P17" s="687"/>
    </row>
    <row r="18" spans="1:16" customFormat="1" ht="15" customHeight="1" x14ac:dyDescent="0.2">
      <c r="A18" s="1137"/>
      <c r="B18" s="1139"/>
      <c r="C18" s="1159" t="s">
        <v>141</v>
      </c>
      <c r="D18" s="964"/>
      <c r="E18" s="1159" t="s">
        <v>435</v>
      </c>
      <c r="F18" s="964"/>
      <c r="G18" s="79"/>
      <c r="H18" s="2" t="s">
        <v>139</v>
      </c>
      <c r="I18" s="2"/>
    </row>
    <row r="19" spans="1:16" customFormat="1" ht="15" customHeight="1" thickBot="1" x14ac:dyDescent="0.25">
      <c r="A19" s="1140"/>
      <c r="B19" s="1142"/>
      <c r="C19" s="1154">
        <v>40999</v>
      </c>
      <c r="D19" s="1155"/>
      <c r="E19" s="1156" t="str">
        <f>'Løntabel gældende fra'!D1</f>
        <v>01/04/17</v>
      </c>
      <c r="F19" s="1155"/>
      <c r="G19" s="445"/>
      <c r="H19" s="40"/>
    </row>
    <row r="20" spans="1:16" customFormat="1" ht="24" customHeight="1" thickBot="1" x14ac:dyDescent="0.25">
      <c r="A20" s="252" t="s">
        <v>121</v>
      </c>
      <c r="B20" s="103" t="s">
        <v>126</v>
      </c>
      <c r="C20" s="1157" t="s">
        <v>385</v>
      </c>
      <c r="D20" s="1158"/>
      <c r="E20" s="1157" t="s">
        <v>385</v>
      </c>
      <c r="F20" s="1158"/>
      <c r="G20" s="445"/>
      <c r="H20" s="2"/>
      <c r="I20" s="2"/>
    </row>
    <row r="21" spans="1:16" customFormat="1" ht="17" customHeight="1" x14ac:dyDescent="0.2">
      <c r="A21" s="148" t="s">
        <v>127</v>
      </c>
      <c r="B21" s="149" t="s">
        <v>128</v>
      </c>
      <c r="C21" s="155">
        <f t="shared" ref="C21:D23" si="0">C11+H21</f>
        <v>403683</v>
      </c>
      <c r="D21" s="156">
        <f t="shared" si="0"/>
        <v>464367</v>
      </c>
      <c r="E21" s="152">
        <f>C21+C21*'Løntabel gældende fra'!$D$7%</f>
        <v>420817.72861799999</v>
      </c>
      <c r="F21" s="153">
        <f>D21+D21*'Løntabel gældende fra'!$D$7%</f>
        <v>484077.52168200002</v>
      </c>
      <c r="G21" s="61"/>
      <c r="H21" s="40">
        <v>35388</v>
      </c>
      <c r="I21">
        <v>26213</v>
      </c>
    </row>
    <row r="22" spans="1:16" customFormat="1" ht="17" customHeight="1" x14ac:dyDescent="0.2">
      <c r="A22" s="146" t="s">
        <v>123</v>
      </c>
      <c r="B22" s="147" t="s">
        <v>128</v>
      </c>
      <c r="C22" s="125">
        <f t="shared" si="0"/>
        <v>439071</v>
      </c>
      <c r="D22" s="154">
        <f t="shared" si="0"/>
        <v>510240</v>
      </c>
      <c r="E22" s="121">
        <f>C22+C22*'Løntabel gældende fra'!$D$7%</f>
        <v>457707.80766599998</v>
      </c>
      <c r="F22" s="117">
        <f>D22+D22*'Løntabel gældende fra'!$D$7%</f>
        <v>531897.64703999995</v>
      </c>
      <c r="G22" s="61"/>
      <c r="H22" s="40">
        <v>35388</v>
      </c>
      <c r="I22">
        <v>26213</v>
      </c>
    </row>
    <row r="23" spans="1:16" customFormat="1" ht="17" customHeight="1" x14ac:dyDescent="0.2">
      <c r="A23" s="97" t="s">
        <v>124</v>
      </c>
      <c r="B23" s="118" t="s">
        <v>128</v>
      </c>
      <c r="C23" s="155">
        <f t="shared" si="0"/>
        <v>474459</v>
      </c>
      <c r="D23" s="156">
        <f t="shared" si="0"/>
        <v>554802</v>
      </c>
      <c r="E23" s="157">
        <f>C23+C23*'Løntabel gældende fra'!$D$7%</f>
        <v>494597.88671400002</v>
      </c>
      <c r="F23" s="158">
        <f>D23+D23*'Løntabel gældende fra'!$D$7%</f>
        <v>578351.12569200003</v>
      </c>
      <c r="G23" s="61"/>
      <c r="H23" s="40">
        <v>35388</v>
      </c>
      <c r="I23">
        <v>26213</v>
      </c>
    </row>
    <row r="24" spans="1:16" s="65" customFormat="1" ht="17" customHeight="1" x14ac:dyDescent="0.2">
      <c r="A24" s="98" t="s">
        <v>129</v>
      </c>
      <c r="B24" s="119" t="s">
        <v>130</v>
      </c>
      <c r="C24" s="126">
        <f t="shared" ref="C24:D26" si="1">C11+H24</f>
        <v>420721</v>
      </c>
      <c r="D24" s="117">
        <f t="shared" si="1"/>
        <v>481406</v>
      </c>
      <c r="E24" s="121">
        <f>C24+C24*'Løntabel gældende fra'!$D$7%</f>
        <v>438578.92356600001</v>
      </c>
      <c r="F24" s="117">
        <f>D24+D24*'Løntabel gældende fra'!$D$7%</f>
        <v>501839.75907600002</v>
      </c>
      <c r="G24" s="75"/>
      <c r="H24">
        <v>52426</v>
      </c>
      <c r="I24">
        <v>43252</v>
      </c>
    </row>
    <row r="25" spans="1:16" s="65" customFormat="1" ht="17" customHeight="1" x14ac:dyDescent="0.2">
      <c r="A25" s="98" t="s">
        <v>123</v>
      </c>
      <c r="B25" s="119" t="s">
        <v>130</v>
      </c>
      <c r="C25" s="155">
        <f t="shared" si="1"/>
        <v>456109</v>
      </c>
      <c r="D25" s="156">
        <f t="shared" si="1"/>
        <v>527279</v>
      </c>
      <c r="E25" s="159">
        <f>C25+C25*'Løntabel gældende fra'!$D$7%</f>
        <v>475469.002614</v>
      </c>
      <c r="F25" s="156">
        <f>D25+D25*'Løntabel gældende fra'!$D$7%</f>
        <v>549659.88443400001</v>
      </c>
      <c r="G25" s="75"/>
      <c r="H25">
        <v>52426</v>
      </c>
      <c r="I25">
        <v>43252</v>
      </c>
    </row>
    <row r="26" spans="1:16" s="65" customFormat="1" ht="17" customHeight="1" x14ac:dyDescent="0.2">
      <c r="A26" s="98" t="s">
        <v>124</v>
      </c>
      <c r="B26" s="119" t="s">
        <v>130</v>
      </c>
      <c r="C26" s="126">
        <f t="shared" si="1"/>
        <v>491497</v>
      </c>
      <c r="D26" s="117">
        <f t="shared" si="1"/>
        <v>571841</v>
      </c>
      <c r="E26" s="121">
        <f>C26+C26*'Løntabel gældende fra'!$D$7%</f>
        <v>512359.08166199998</v>
      </c>
      <c r="F26" s="117">
        <f>D26+D26*'Løntabel gældende fra'!$D$7%</f>
        <v>596113.36308599997</v>
      </c>
      <c r="G26" s="75"/>
      <c r="H26">
        <v>52426</v>
      </c>
      <c r="I26">
        <v>43252</v>
      </c>
    </row>
    <row r="27" spans="1:16" s="65" customFormat="1" ht="17" customHeight="1" x14ac:dyDescent="0.2">
      <c r="A27" s="98" t="s">
        <v>129</v>
      </c>
      <c r="B27" s="119" t="s">
        <v>131</v>
      </c>
      <c r="C27" s="126">
        <f t="shared" ref="C27:D29" si="2">C11+H27</f>
        <v>439071</v>
      </c>
      <c r="D27" s="117">
        <f t="shared" si="2"/>
        <v>499755</v>
      </c>
      <c r="E27" s="152">
        <f>C27+C27*'Løntabel gældende fra'!$D$7%</f>
        <v>457707.80766599998</v>
      </c>
      <c r="F27" s="153">
        <f>D27+D27*'Løntabel gældende fra'!$D$7%</f>
        <v>520967.60073000001</v>
      </c>
      <c r="G27" s="75"/>
      <c r="H27" s="65">
        <v>70776</v>
      </c>
      <c r="I27" s="65">
        <v>61601</v>
      </c>
    </row>
    <row r="28" spans="1:16" s="65" customFormat="1" ht="17" customHeight="1" x14ac:dyDescent="0.2">
      <c r="A28" s="98" t="s">
        <v>123</v>
      </c>
      <c r="B28" s="119" t="s">
        <v>131</v>
      </c>
      <c r="C28" s="126">
        <f t="shared" si="2"/>
        <v>474459</v>
      </c>
      <c r="D28" s="117">
        <f t="shared" si="2"/>
        <v>545628</v>
      </c>
      <c r="E28" s="121">
        <f>C28+C28*'Løntabel gældende fra'!$D$7%</f>
        <v>494597.88671400002</v>
      </c>
      <c r="F28" s="117">
        <f>D28+D28*'Løntabel gældende fra'!$D$7%</f>
        <v>568787.726088</v>
      </c>
      <c r="G28" s="75"/>
      <c r="H28" s="65">
        <v>70776</v>
      </c>
      <c r="I28" s="65">
        <v>61601</v>
      </c>
    </row>
    <row r="29" spans="1:16" s="65" customFormat="1" ht="17" customHeight="1" thickBot="1" x14ac:dyDescent="0.25">
      <c r="A29" s="99" t="s">
        <v>124</v>
      </c>
      <c r="B29" s="120" t="s">
        <v>131</v>
      </c>
      <c r="C29" s="127">
        <f t="shared" si="2"/>
        <v>509847</v>
      </c>
      <c r="D29" s="129">
        <f t="shared" si="2"/>
        <v>590190</v>
      </c>
      <c r="E29" s="128">
        <f>C29+C29*'Løntabel gældende fra'!$D$7%</f>
        <v>531487.96576199995</v>
      </c>
      <c r="F29" s="129">
        <f>D29+D29*'Løntabel gældende fra'!$D$7%</f>
        <v>615241.20473999996</v>
      </c>
      <c r="G29" s="75"/>
      <c r="H29" s="65">
        <v>70776</v>
      </c>
      <c r="I29" s="65">
        <v>61601</v>
      </c>
    </row>
    <row r="30" spans="1:16" s="65" customFormat="1" ht="27" customHeight="1" thickBot="1" x14ac:dyDescent="0.25">
      <c r="A30" s="75"/>
      <c r="B30" s="75"/>
      <c r="C30" s="75"/>
      <c r="D30" s="75"/>
      <c r="E30" s="75"/>
      <c r="F30" s="75"/>
      <c r="G30" s="75"/>
    </row>
    <row r="31" spans="1:16" ht="24" customHeight="1" x14ac:dyDescent="0.15">
      <c r="A31" s="1166" t="s">
        <v>142</v>
      </c>
      <c r="B31" s="1167"/>
      <c r="C31" s="1167"/>
      <c r="D31" s="1167"/>
      <c r="E31" s="1167"/>
      <c r="F31" s="1168"/>
      <c r="G31" s="95"/>
      <c r="N31" s="1161"/>
      <c r="O31" s="1161"/>
      <c r="P31" s="1161"/>
    </row>
    <row r="32" spans="1:16" ht="23" customHeight="1" x14ac:dyDescent="0.15">
      <c r="A32" s="1169"/>
      <c r="B32" s="1170"/>
      <c r="C32" s="1170"/>
      <c r="D32" s="1170"/>
      <c r="E32" s="1170"/>
      <c r="F32" s="1171"/>
      <c r="G32" s="95"/>
      <c r="N32" s="1162"/>
      <c r="O32" s="1162"/>
      <c r="P32" s="1162"/>
    </row>
    <row r="33" spans="1:17" ht="14" customHeight="1" thickBot="1" x14ac:dyDescent="0.2">
      <c r="A33" s="1102" t="s">
        <v>373</v>
      </c>
      <c r="B33" s="1103"/>
      <c r="C33" s="1103"/>
      <c r="D33" s="1103"/>
      <c r="E33" s="1103"/>
      <c r="F33" s="1104"/>
      <c r="G33" s="95"/>
      <c r="N33" s="687"/>
      <c r="O33" s="687"/>
      <c r="P33" s="687"/>
    </row>
    <row r="34" spans="1:17" customFormat="1" ht="15" customHeight="1" x14ac:dyDescent="0.2">
      <c r="A34" s="1137"/>
      <c r="B34" s="1139"/>
      <c r="C34" s="1159" t="s">
        <v>141</v>
      </c>
      <c r="D34" s="964"/>
      <c r="E34" s="1159" t="s">
        <v>435</v>
      </c>
      <c r="F34" s="964"/>
      <c r="G34" s="79"/>
      <c r="H34" s="40"/>
    </row>
    <row r="35" spans="1:17" customFormat="1" ht="15" customHeight="1" thickBot="1" x14ac:dyDescent="0.25">
      <c r="A35" s="1140"/>
      <c r="B35" s="1142"/>
      <c r="C35" s="1154">
        <v>40999</v>
      </c>
      <c r="D35" s="1155"/>
      <c r="E35" s="1156" t="str">
        <f>'Løntabel gældende fra'!D1</f>
        <v>01/04/17</v>
      </c>
      <c r="F35" s="1155"/>
      <c r="G35" s="445"/>
      <c r="H35" s="40"/>
    </row>
    <row r="36" spans="1:17" customFormat="1" ht="24" customHeight="1" thickBot="1" x14ac:dyDescent="0.25">
      <c r="A36" s="516"/>
      <c r="B36" s="528" t="s">
        <v>121</v>
      </c>
      <c r="C36" s="1203" t="s">
        <v>385</v>
      </c>
      <c r="D36" s="1204"/>
      <c r="E36" s="1157" t="s">
        <v>385</v>
      </c>
      <c r="F36" s="1158"/>
      <c r="G36" s="445"/>
      <c r="H36" s="40"/>
    </row>
    <row r="37" spans="1:17" customFormat="1" ht="24" customHeight="1" x14ac:dyDescent="0.2">
      <c r="A37" s="1164" t="s">
        <v>132</v>
      </c>
      <c r="B37" s="691" t="s">
        <v>133</v>
      </c>
      <c r="C37" s="122">
        <v>368295</v>
      </c>
      <c r="D37" s="123">
        <v>438154</v>
      </c>
      <c r="E37" s="122">
        <f>C37+C37*'Løntabel gældende fra'!$D$7%</f>
        <v>383927.64957000001</v>
      </c>
      <c r="F37" s="124">
        <f>D37+D37*'Løntabel gældende fra'!$D$7%</f>
        <v>456751.88468399999</v>
      </c>
      <c r="G37" s="61"/>
      <c r="H37" s="40"/>
    </row>
    <row r="38" spans="1:17" customFormat="1" ht="22" customHeight="1" thickBot="1" x14ac:dyDescent="0.25">
      <c r="A38" s="1165"/>
      <c r="B38" s="111" t="s">
        <v>124</v>
      </c>
      <c r="C38" s="125">
        <v>394509</v>
      </c>
      <c r="D38" s="116">
        <v>457814</v>
      </c>
      <c r="E38" s="126">
        <f>C38+C38*'Løntabel gældende fra'!$D$7%</f>
        <v>411254.32901400002</v>
      </c>
      <c r="F38" s="117">
        <f>D38+D38*'Løntabel gældende fra'!$D$7%</f>
        <v>477246.37304400001</v>
      </c>
      <c r="G38" s="61"/>
      <c r="H38" s="40"/>
    </row>
    <row r="39" spans="1:17" s="65" customFormat="1" ht="31" customHeight="1" thickBot="1" x14ac:dyDescent="0.25">
      <c r="A39" s="1206" t="s">
        <v>143</v>
      </c>
      <c r="B39" s="1207"/>
      <c r="C39" s="126">
        <v>368295</v>
      </c>
      <c r="D39" s="121">
        <v>484027</v>
      </c>
      <c r="E39" s="126">
        <f>C39+C39*'Løntabel gældende fra'!$D$7%</f>
        <v>383927.64957000001</v>
      </c>
      <c r="F39" s="117">
        <f>D39+D39*'Løntabel gældende fra'!$D$7%</f>
        <v>504572.01004199998</v>
      </c>
      <c r="G39" s="75"/>
    </row>
    <row r="40" spans="1:17" s="65" customFormat="1" ht="21" thickBot="1" x14ac:dyDescent="0.25">
      <c r="A40" s="1208" t="s">
        <v>134</v>
      </c>
      <c r="B40" s="1209"/>
      <c r="C40" s="126">
        <v>351257</v>
      </c>
      <c r="D40" s="121">
        <v>438154</v>
      </c>
      <c r="E40" s="126">
        <f>C40+C40*'Løntabel gældende fra'!$D$7%</f>
        <v>366166.45462199999</v>
      </c>
      <c r="F40" s="117">
        <f>D40+D40*'Løntabel gældende fra'!$D$7%</f>
        <v>456751.88468399999</v>
      </c>
      <c r="G40" s="75"/>
      <c r="H40" s="75"/>
      <c r="I40" s="75"/>
      <c r="J40" s="75"/>
      <c r="K40" s="75"/>
    </row>
    <row r="41" spans="1:17" s="65" customFormat="1" ht="32" customHeight="1" thickBot="1" x14ac:dyDescent="0.25">
      <c r="A41" s="1206" t="s">
        <v>386</v>
      </c>
      <c r="B41" s="1207"/>
      <c r="C41" s="127">
        <v>351257</v>
      </c>
      <c r="D41" s="128">
        <v>466988</v>
      </c>
      <c r="E41" s="127">
        <f>C41+C41*'Løntabel gældende fra'!$D$7%</f>
        <v>366166.45462199999</v>
      </c>
      <c r="F41" s="129">
        <f>D41+D41*'Løntabel gældende fra'!$D$7%</f>
        <v>486809.77264799998</v>
      </c>
      <c r="G41" s="75"/>
      <c r="H41" s="75"/>
      <c r="I41" s="75"/>
      <c r="J41" s="75"/>
      <c r="K41" s="75"/>
    </row>
    <row r="42" spans="1:17" s="65" customFormat="1" ht="23" customHeight="1" thickBot="1" x14ac:dyDescent="0.25">
      <c r="A42" s="1190"/>
      <c r="B42" s="1190"/>
      <c r="C42" s="1190"/>
      <c r="D42" s="1190"/>
      <c r="E42" s="1190"/>
      <c r="F42" s="144"/>
      <c r="G42" s="75"/>
      <c r="H42" s="75"/>
      <c r="I42" s="75"/>
      <c r="J42" s="75"/>
      <c r="K42" s="75"/>
    </row>
    <row r="43" spans="1:17" s="65" customFormat="1" ht="23" customHeight="1" x14ac:dyDescent="0.2">
      <c r="A43" s="1191" t="s">
        <v>380</v>
      </c>
      <c r="B43" s="1192"/>
      <c r="C43" s="1192"/>
      <c r="D43" s="1192"/>
      <c r="E43" s="1192"/>
      <c r="F43" s="1193"/>
      <c r="G43" s="75"/>
      <c r="H43" s="75"/>
      <c r="I43" s="75"/>
      <c r="J43" s="75"/>
      <c r="K43" s="75"/>
      <c r="L43" s="4"/>
      <c r="M43" s="4"/>
      <c r="N43" s="4"/>
      <c r="O43" s="4"/>
      <c r="P43" s="4"/>
      <c r="Q43" s="4"/>
    </row>
    <row r="44" spans="1:17" ht="14" customHeight="1" thickBot="1" x14ac:dyDescent="0.2">
      <c r="A44" s="1102" t="s">
        <v>373</v>
      </c>
      <c r="B44" s="1103"/>
      <c r="C44" s="1103"/>
      <c r="D44" s="1103"/>
      <c r="E44" s="1103"/>
      <c r="F44" s="1104"/>
      <c r="G44" s="95"/>
      <c r="N44" s="687"/>
      <c r="O44" s="687"/>
      <c r="P44" s="687"/>
    </row>
    <row r="45" spans="1:17" s="65" customFormat="1" ht="30" customHeight="1" x14ac:dyDescent="0.2">
      <c r="A45" s="1194" t="s">
        <v>344</v>
      </c>
      <c r="B45" s="1195"/>
      <c r="C45" s="1196"/>
      <c r="D45" s="849" t="s">
        <v>141</v>
      </c>
      <c r="E45" s="526" t="s">
        <v>105</v>
      </c>
      <c r="F45" s="839" t="s">
        <v>321</v>
      </c>
      <c r="G45" s="75"/>
      <c r="H45" s="75"/>
      <c r="I45" s="75"/>
      <c r="J45" s="75"/>
      <c r="K45" s="75"/>
      <c r="L45" s="4"/>
      <c r="M45" s="4"/>
      <c r="N45" s="4"/>
      <c r="O45" s="4"/>
      <c r="P45" s="4"/>
      <c r="Q45" s="4"/>
    </row>
    <row r="46" spans="1:17" s="65" customFormat="1" ht="15" customHeight="1" thickBot="1" x14ac:dyDescent="0.25">
      <c r="A46" s="1197"/>
      <c r="B46" s="1198"/>
      <c r="C46" s="1199"/>
      <c r="D46" s="527">
        <v>40999</v>
      </c>
      <c r="E46" s="527">
        <v>40999</v>
      </c>
      <c r="F46" s="400" t="str">
        <f>'Løntabel gældende fra'!$D$1</f>
        <v>01/04/17</v>
      </c>
      <c r="G46" s="75"/>
      <c r="H46" s="75"/>
      <c r="I46" s="75"/>
      <c r="J46" s="75"/>
      <c r="K46" s="75"/>
      <c r="L46" s="4"/>
      <c r="M46" s="4"/>
      <c r="N46" s="4"/>
      <c r="O46" s="4"/>
      <c r="P46" s="4"/>
      <c r="Q46" s="4"/>
    </row>
    <row r="47" spans="1:17" s="65" customFormat="1" ht="18" customHeight="1" thickBot="1" x14ac:dyDescent="0.25">
      <c r="A47" s="1200"/>
      <c r="B47" s="1201"/>
      <c r="C47" s="1202"/>
      <c r="D47" s="246">
        <v>19300</v>
      </c>
      <c r="E47" s="246">
        <f>'Lærere og bh kl ledere'!G62/12</f>
        <v>1608.3333333333333</v>
      </c>
      <c r="F47" s="194">
        <f>E47+(E47*'Løntabel gældende fra'!$D$7%)</f>
        <v>1676.6006499999999</v>
      </c>
      <c r="G47" s="75"/>
      <c r="H47" s="75"/>
      <c r="I47" s="75"/>
      <c r="J47" s="75"/>
      <c r="K47" s="75"/>
      <c r="L47" s="4"/>
      <c r="M47" s="4"/>
      <c r="N47" s="4"/>
      <c r="O47" s="4"/>
      <c r="P47" s="4"/>
      <c r="Q47" s="4"/>
    </row>
    <row r="48" spans="1:17" s="65" customFormat="1" ht="21" thickBot="1" x14ac:dyDescent="0.25">
      <c r="B48" s="87"/>
      <c r="D48" s="143"/>
      <c r="E48" s="143"/>
      <c r="F48" s="143"/>
      <c r="G48" s="75"/>
      <c r="H48" s="75"/>
      <c r="I48" s="75"/>
      <c r="J48" s="75"/>
      <c r="K48" s="75"/>
    </row>
    <row r="49" spans="1:11" s="65" customFormat="1" ht="21" thickBot="1" x14ac:dyDescent="0.25">
      <c r="A49" s="1166" t="s">
        <v>356</v>
      </c>
      <c r="B49" s="1167"/>
      <c r="C49" s="1167"/>
      <c r="D49" s="1167"/>
      <c r="E49" s="1167"/>
      <c r="F49" s="1167"/>
      <c r="G49" s="1168"/>
      <c r="H49" s="75"/>
      <c r="I49" s="75"/>
      <c r="J49" s="75"/>
      <c r="K49" s="75"/>
    </row>
    <row r="50" spans="1:11" s="65" customFormat="1" ht="34" customHeight="1" thickBot="1" x14ac:dyDescent="0.25">
      <c r="A50" s="887" t="s">
        <v>357</v>
      </c>
      <c r="B50" s="1210" t="s">
        <v>358</v>
      </c>
      <c r="C50" s="1211"/>
      <c r="D50" s="1211"/>
      <c r="E50" s="1211"/>
      <c r="F50" s="1211"/>
      <c r="G50" s="1212"/>
      <c r="H50" s="75"/>
      <c r="I50" s="75"/>
      <c r="J50" s="75"/>
      <c r="K50" s="75"/>
    </row>
    <row r="51" spans="1:11" s="65" customFormat="1" ht="20" x14ac:dyDescent="0.2">
      <c r="A51" s="1213" t="s">
        <v>388</v>
      </c>
      <c r="B51" s="1217" t="s">
        <v>359</v>
      </c>
      <c r="C51" s="1218"/>
      <c r="D51" s="1219"/>
      <c r="E51" s="885" t="s">
        <v>141</v>
      </c>
      <c r="F51" s="886" t="s">
        <v>435</v>
      </c>
      <c r="G51" s="701"/>
      <c r="H51" s="75"/>
      <c r="I51" s="75"/>
      <c r="J51" s="75"/>
      <c r="K51" s="75"/>
    </row>
    <row r="52" spans="1:11" s="65" customFormat="1" ht="28" customHeight="1" thickBot="1" x14ac:dyDescent="0.25">
      <c r="A52" s="1214"/>
      <c r="B52" s="1220"/>
      <c r="C52" s="1221"/>
      <c r="D52" s="1222"/>
      <c r="E52" s="414">
        <v>40999</v>
      </c>
      <c r="F52" s="403" t="str">
        <f>'Løntabel gældende fra'!$D$1</f>
        <v>01/04/17</v>
      </c>
      <c r="G52" s="702"/>
      <c r="H52" s="75"/>
      <c r="I52" s="75"/>
      <c r="J52" s="75"/>
      <c r="K52" s="75"/>
    </row>
    <row r="53" spans="1:11" s="65" customFormat="1" ht="20" x14ac:dyDescent="0.2">
      <c r="A53" s="1215"/>
      <c r="B53" s="705" t="s">
        <v>390</v>
      </c>
      <c r="C53" s="706"/>
      <c r="D53" s="710"/>
      <c r="E53" s="712">
        <v>98300</v>
      </c>
      <c r="F53" s="713">
        <f>E53+E53*'Løntabel gældende fra'!$D$7%</f>
        <v>102472.4418</v>
      </c>
      <c r="G53" s="703"/>
      <c r="H53" s="75"/>
      <c r="I53" s="75"/>
      <c r="J53" s="75"/>
      <c r="K53" s="75"/>
    </row>
    <row r="54" spans="1:11" s="65" customFormat="1" ht="21" thickBot="1" x14ac:dyDescent="0.25">
      <c r="A54" s="1216"/>
      <c r="B54" s="707" t="s">
        <v>389</v>
      </c>
      <c r="C54" s="708"/>
      <c r="D54" s="711"/>
      <c r="E54" s="709">
        <v>124500</v>
      </c>
      <c r="F54" s="714">
        <f>E54+E54*'Løntabel gældende fra'!$D$7%</f>
        <v>129784.527</v>
      </c>
      <c r="G54" s="704"/>
      <c r="H54" s="75"/>
      <c r="I54" s="75"/>
      <c r="J54" s="75"/>
      <c r="K54" s="75"/>
    </row>
    <row r="55" spans="1:11" s="65" customFormat="1" ht="21" thickBot="1" x14ac:dyDescent="0.25">
      <c r="B55" s="87"/>
      <c r="D55" s="143"/>
      <c r="E55" s="143"/>
      <c r="F55" s="143"/>
      <c r="G55" s="75"/>
      <c r="H55" s="75"/>
      <c r="I55" s="75"/>
      <c r="J55" s="75"/>
      <c r="K55" s="75"/>
    </row>
    <row r="56" spans="1:11" ht="42" customHeight="1" x14ac:dyDescent="0.2">
      <c r="A56" s="1166" t="s">
        <v>144</v>
      </c>
      <c r="B56" s="1167"/>
      <c r="C56" s="1167"/>
      <c r="D56" s="1167"/>
      <c r="E56" s="1167"/>
      <c r="F56" s="1167"/>
      <c r="G56" s="1168"/>
      <c r="H56" s="91"/>
    </row>
    <row r="57" spans="1:11" ht="26" customHeight="1" thickBot="1" x14ac:dyDescent="0.25">
      <c r="A57" s="1031" t="str">
        <f>'Løntabel gældende fra'!$D$1</f>
        <v>01/04/17</v>
      </c>
      <c r="B57" s="1032"/>
      <c r="C57" s="1032"/>
      <c r="D57" s="1032"/>
      <c r="E57" s="1032"/>
      <c r="F57" s="1032"/>
      <c r="G57" s="1033"/>
      <c r="H57" s="92"/>
    </row>
    <row r="58" spans="1:11" s="84" customFormat="1" ht="32" customHeight="1" x14ac:dyDescent="0.2">
      <c r="A58" s="1224" t="s">
        <v>135</v>
      </c>
      <c r="B58" s="1224"/>
      <c r="C58" s="1224"/>
      <c r="D58" s="1224"/>
      <c r="E58" s="1224"/>
      <c r="F58" s="1224"/>
      <c r="G58" s="1224"/>
      <c r="H58" s="92"/>
    </row>
    <row r="59" spans="1:11" s="84" customFormat="1" ht="12" customHeight="1" x14ac:dyDescent="0.2">
      <c r="A59" s="100"/>
      <c r="B59" s="100"/>
      <c r="C59" s="100"/>
      <c r="D59" s="100"/>
      <c r="E59" s="100"/>
      <c r="F59" s="100"/>
      <c r="G59" s="100"/>
      <c r="H59" s="92"/>
    </row>
    <row r="60" spans="1:11" s="84" customFormat="1" ht="14" customHeight="1" x14ac:dyDescent="0.2">
      <c r="A60" s="1225" t="s">
        <v>136</v>
      </c>
      <c r="B60" s="1205" t="s">
        <v>366</v>
      </c>
      <c r="C60" s="1205"/>
      <c r="D60" s="1205"/>
      <c r="E60" s="1205"/>
      <c r="F60" s="1205"/>
      <c r="G60" s="1205"/>
      <c r="H60" s="92"/>
    </row>
    <row r="61" spans="1:11" s="84" customFormat="1" ht="14" customHeight="1" x14ac:dyDescent="0.2">
      <c r="A61" s="1225"/>
      <c r="B61" s="96" t="s">
        <v>387</v>
      </c>
      <c r="C61" s="101"/>
      <c r="D61" s="101"/>
      <c r="E61" s="101"/>
      <c r="F61" s="101"/>
      <c r="G61" s="101"/>
      <c r="H61" s="92"/>
    </row>
    <row r="62" spans="1:11" s="84" customFormat="1" ht="14" customHeight="1" x14ac:dyDescent="0.2">
      <c r="A62" s="1225"/>
      <c r="B62" s="1205" t="s">
        <v>369</v>
      </c>
      <c r="C62" s="1205"/>
      <c r="D62" s="1205"/>
      <c r="E62" s="1205"/>
      <c r="F62" s="1205"/>
      <c r="G62" s="1205"/>
      <c r="H62" s="92"/>
    </row>
    <row r="63" spans="1:11" s="84" customFormat="1" ht="14" customHeight="1" x14ac:dyDescent="0.2">
      <c r="A63" s="102"/>
      <c r="B63" s="1205"/>
      <c r="C63" s="1205"/>
      <c r="D63" s="1205"/>
      <c r="E63" s="1205"/>
      <c r="F63" s="1205"/>
      <c r="G63" s="1205"/>
      <c r="H63" s="92"/>
    </row>
    <row r="64" spans="1:11" s="84" customFormat="1" ht="14" customHeight="1" x14ac:dyDescent="0.2">
      <c r="A64" s="675"/>
      <c r="B64" s="674"/>
      <c r="C64" s="674"/>
      <c r="D64" s="674"/>
      <c r="E64" s="674"/>
      <c r="F64" s="674"/>
      <c r="G64" s="674"/>
      <c r="H64" s="92"/>
    </row>
    <row r="65" spans="1:8" s="84" customFormat="1" ht="14" customHeight="1" x14ac:dyDescent="0.2">
      <c r="A65" s="1225" t="s">
        <v>137</v>
      </c>
      <c r="B65" s="1205" t="s">
        <v>365</v>
      </c>
      <c r="C65" s="1205"/>
      <c r="D65" s="1205"/>
      <c r="E65" s="1205"/>
      <c r="F65" s="1205"/>
      <c r="G65" s="1205"/>
      <c r="H65" s="92"/>
    </row>
    <row r="66" spans="1:8" s="84" customFormat="1" ht="14" customHeight="1" x14ac:dyDescent="0.2">
      <c r="A66" s="1225"/>
      <c r="B66" s="96" t="s">
        <v>367</v>
      </c>
      <c r="C66" s="101"/>
      <c r="D66" s="101"/>
      <c r="E66" s="101"/>
      <c r="F66" s="101"/>
      <c r="G66" s="101"/>
      <c r="H66" s="92"/>
    </row>
    <row r="67" spans="1:8" s="84" customFormat="1" ht="14" customHeight="1" x14ac:dyDescent="0.2">
      <c r="A67" s="1225"/>
      <c r="B67" s="1205" t="s">
        <v>368</v>
      </c>
      <c r="C67" s="1205"/>
      <c r="D67" s="1205"/>
      <c r="E67" s="1205"/>
      <c r="F67" s="1205"/>
      <c r="G67" s="1205"/>
      <c r="H67" s="92"/>
    </row>
    <row r="68" spans="1:8" s="84" customFormat="1" ht="14" customHeight="1" x14ac:dyDescent="0.2">
      <c r="A68" s="675"/>
      <c r="B68" s="1205"/>
      <c r="C68" s="1205"/>
      <c r="D68" s="1205"/>
      <c r="E68" s="1205"/>
      <c r="F68" s="1205"/>
      <c r="G68" s="1205"/>
      <c r="H68" s="92"/>
    </row>
    <row r="69" spans="1:8" s="84" customFormat="1" ht="12" customHeight="1" thickBot="1" x14ac:dyDescent="0.25">
      <c r="A69" s="75"/>
      <c r="B69" s="75"/>
      <c r="C69" s="75"/>
      <c r="D69" s="75"/>
      <c r="E69" s="75"/>
      <c r="F69" s="75"/>
      <c r="G69" s="75"/>
      <c r="H69" s="92"/>
    </row>
    <row r="70" spans="1:8" ht="18" customHeight="1" x14ac:dyDescent="0.15">
      <c r="A70" s="980" t="s">
        <v>59</v>
      </c>
      <c r="B70" s="972" t="s">
        <v>25</v>
      </c>
      <c r="C70" s="974"/>
      <c r="D70" s="972" t="s">
        <v>26</v>
      </c>
      <c r="E70" s="974"/>
      <c r="F70" s="870" t="s">
        <v>444</v>
      </c>
      <c r="G70" s="980" t="s">
        <v>99</v>
      </c>
    </row>
    <row r="71" spans="1:8" ht="18" customHeight="1" thickBot="1" x14ac:dyDescent="0.2">
      <c r="A71" s="981"/>
      <c r="B71" s="873">
        <v>40999</v>
      </c>
      <c r="C71" s="874"/>
      <c r="D71" s="975" t="str">
        <f>'Løntabel gældende fra'!$D$1</f>
        <v>01/04/17</v>
      </c>
      <c r="E71" s="977"/>
      <c r="F71" s="871" t="str">
        <f>'Løntabel gældende fra'!$D$1</f>
        <v>01/04/17</v>
      </c>
      <c r="G71" s="981"/>
    </row>
    <row r="72" spans="1:8" ht="19" customHeight="1" thickBot="1" x14ac:dyDescent="0.2">
      <c r="A72" s="981"/>
      <c r="B72" s="876" t="s">
        <v>90</v>
      </c>
      <c r="C72" s="872" t="s">
        <v>177</v>
      </c>
      <c r="D72" s="399" t="s">
        <v>90</v>
      </c>
      <c r="E72" s="502" t="s">
        <v>177</v>
      </c>
      <c r="F72" s="502" t="s">
        <v>177</v>
      </c>
      <c r="G72" s="408">
        <v>0.15</v>
      </c>
    </row>
    <row r="73" spans="1:8" ht="14" customHeight="1" x14ac:dyDescent="0.15">
      <c r="A73" s="447">
        <v>31</v>
      </c>
      <c r="B73" s="517">
        <f>+'Statens skalatrin'!N96</f>
        <v>290512.64000000001</v>
      </c>
      <c r="C73" s="519">
        <f>B73/12</f>
        <v>24209.386666666669</v>
      </c>
      <c r="D73" s="518">
        <f>ROUND(B73*(1+'Løntabel gældende fra'!$D$7/100),0)</f>
        <v>302844</v>
      </c>
      <c r="E73" s="875">
        <f>D73/12</f>
        <v>25237</v>
      </c>
      <c r="F73" s="517">
        <f>E73*15%</f>
        <v>3785.5499999999997</v>
      </c>
      <c r="G73" s="519">
        <f>F73*$G$72</f>
        <v>567.83249999999998</v>
      </c>
      <c r="H73" s="53"/>
    </row>
    <row r="74" spans="1:8" x14ac:dyDescent="0.15">
      <c r="A74" s="512">
        <v>32</v>
      </c>
      <c r="B74" s="219">
        <f>+'Statens skalatrin'!N99</f>
        <v>296125.21000000002</v>
      </c>
      <c r="C74" s="877">
        <f t="shared" ref="C74:C92" si="3">B74/12</f>
        <v>24677.100833333334</v>
      </c>
      <c r="D74" s="881">
        <f>ROUND(B74*(1+'Løntabel gældende fra'!$D$7/100),0)</f>
        <v>308695</v>
      </c>
      <c r="E74" s="879">
        <f t="shared" ref="E74:E92" si="4">D74/12</f>
        <v>25724.583333333332</v>
      </c>
      <c r="F74" s="883">
        <f t="shared" ref="F74:F92" si="5">E74*15%</f>
        <v>3858.6874999999995</v>
      </c>
      <c r="G74" s="217">
        <f t="shared" ref="G74:G92" si="6">F74*$G$72</f>
        <v>578.80312499999991</v>
      </c>
    </row>
    <row r="75" spans="1:8" x14ac:dyDescent="0.15">
      <c r="A75" s="512">
        <v>33</v>
      </c>
      <c r="B75" s="219">
        <f>+'Statens skalatrin'!N102</f>
        <v>301881.8</v>
      </c>
      <c r="C75" s="877">
        <f t="shared" si="3"/>
        <v>25156.816666666666</v>
      </c>
      <c r="D75" s="881">
        <f>ROUND(B75*(1+'Løntabel gældende fra'!$D$7/100),0)</f>
        <v>314695</v>
      </c>
      <c r="E75" s="879">
        <f t="shared" si="4"/>
        <v>26224.583333333332</v>
      </c>
      <c r="F75" s="883">
        <f t="shared" si="5"/>
        <v>3933.6874999999995</v>
      </c>
      <c r="G75" s="217">
        <f t="shared" si="6"/>
        <v>590.05312499999991</v>
      </c>
    </row>
    <row r="76" spans="1:8" x14ac:dyDescent="0.15">
      <c r="A76" s="512">
        <v>34</v>
      </c>
      <c r="B76" s="219">
        <f>+'Statens skalatrin'!N105</f>
        <v>307790.62</v>
      </c>
      <c r="C76" s="877">
        <f t="shared" si="3"/>
        <v>25649.218333333334</v>
      </c>
      <c r="D76" s="881">
        <f>ROUND(B76*(1+'Løntabel gældende fra'!$D$7/100),0)</f>
        <v>320855</v>
      </c>
      <c r="E76" s="879">
        <f t="shared" si="4"/>
        <v>26737.916666666668</v>
      </c>
      <c r="F76" s="883">
        <f t="shared" si="5"/>
        <v>4010.6875</v>
      </c>
      <c r="G76" s="217">
        <f t="shared" si="6"/>
        <v>601.60312499999998</v>
      </c>
    </row>
    <row r="77" spans="1:8" x14ac:dyDescent="0.15">
      <c r="A77" s="512">
        <v>35</v>
      </c>
      <c r="B77" s="219">
        <f>+'Statens skalatrin'!N108</f>
        <v>313854.56</v>
      </c>
      <c r="C77" s="877">
        <f t="shared" si="3"/>
        <v>26154.546666666665</v>
      </c>
      <c r="D77" s="881">
        <f>ROUND(B77*(1+'Løntabel gældende fra'!$D$7/100),0)</f>
        <v>327176</v>
      </c>
      <c r="E77" s="879">
        <f t="shared" si="4"/>
        <v>27264.666666666668</v>
      </c>
      <c r="F77" s="883">
        <f t="shared" si="5"/>
        <v>4089.7</v>
      </c>
      <c r="G77" s="217">
        <f t="shared" si="6"/>
        <v>613.45499999999993</v>
      </c>
    </row>
    <row r="78" spans="1:8" x14ac:dyDescent="0.15">
      <c r="A78" s="512">
        <v>36</v>
      </c>
      <c r="B78" s="219">
        <f>+'Statens skalatrin'!N111</f>
        <v>320074.68</v>
      </c>
      <c r="C78" s="877">
        <f t="shared" si="3"/>
        <v>26672.89</v>
      </c>
      <c r="D78" s="881">
        <f>ROUND(B78*(1+'Løntabel gældende fra'!$D$7/100),0)</f>
        <v>333661</v>
      </c>
      <c r="E78" s="879">
        <f t="shared" si="4"/>
        <v>27805.083333333332</v>
      </c>
      <c r="F78" s="883">
        <f t="shared" si="5"/>
        <v>4170.7624999999998</v>
      </c>
      <c r="G78" s="217">
        <f t="shared" si="6"/>
        <v>625.614375</v>
      </c>
    </row>
    <row r="79" spans="1:8" x14ac:dyDescent="0.15">
      <c r="A79" s="512">
        <v>37</v>
      </c>
      <c r="B79" s="219">
        <f>+'Statens skalatrin'!N114</f>
        <v>326457.34000000003</v>
      </c>
      <c r="C79" s="877">
        <f t="shared" si="3"/>
        <v>27204.778333333335</v>
      </c>
      <c r="D79" s="881">
        <f>ROUND(B79*(1+'Løntabel gældende fra'!$D$7/100),0)</f>
        <v>340314</v>
      </c>
      <c r="E79" s="879">
        <f t="shared" si="4"/>
        <v>28359.5</v>
      </c>
      <c r="F79" s="883">
        <f t="shared" si="5"/>
        <v>4253.9250000000002</v>
      </c>
      <c r="G79" s="217">
        <f t="shared" si="6"/>
        <v>638.08875</v>
      </c>
    </row>
    <row r="80" spans="1:8" x14ac:dyDescent="0.15">
      <c r="A80" s="512">
        <v>38</v>
      </c>
      <c r="B80" s="219">
        <f>+'Statens skalatrin'!N117</f>
        <v>333128.88</v>
      </c>
      <c r="C80" s="877">
        <f t="shared" si="3"/>
        <v>27760.74</v>
      </c>
      <c r="D80" s="881">
        <f>ROUND(B80*(1+'Løntabel gældende fra'!$D$7/100),0)</f>
        <v>347269</v>
      </c>
      <c r="E80" s="879">
        <f t="shared" si="4"/>
        <v>28939.083333333332</v>
      </c>
      <c r="F80" s="883">
        <f t="shared" si="5"/>
        <v>4340.8624999999993</v>
      </c>
      <c r="G80" s="217">
        <f t="shared" si="6"/>
        <v>651.12937499999987</v>
      </c>
    </row>
    <row r="81" spans="1:7" x14ac:dyDescent="0.15">
      <c r="A81" s="512">
        <v>39</v>
      </c>
      <c r="B81" s="219">
        <f>+'Statens skalatrin'!N120</f>
        <v>339989.41</v>
      </c>
      <c r="C81" s="877">
        <f t="shared" si="3"/>
        <v>28332.450833333332</v>
      </c>
      <c r="D81" s="881">
        <f>ROUND(B81*(1+'Løntabel gældende fra'!$D$7/100),0)</f>
        <v>354421</v>
      </c>
      <c r="E81" s="879">
        <f t="shared" si="4"/>
        <v>29535.083333333332</v>
      </c>
      <c r="F81" s="883">
        <f t="shared" si="5"/>
        <v>4430.2624999999998</v>
      </c>
      <c r="G81" s="217">
        <f t="shared" si="6"/>
        <v>664.53937499999995</v>
      </c>
    </row>
    <row r="82" spans="1:7" x14ac:dyDescent="0.15">
      <c r="A82" s="512">
        <v>40</v>
      </c>
      <c r="B82" s="219">
        <f>+'Statens skalatrin'!N123</f>
        <v>347027.46</v>
      </c>
      <c r="C82" s="877">
        <f t="shared" si="3"/>
        <v>28918.955000000002</v>
      </c>
      <c r="D82" s="881">
        <f>ROUND(B82*(1+'Løntabel gældende fra'!$D$7/100),0)</f>
        <v>361757</v>
      </c>
      <c r="E82" s="879">
        <f t="shared" si="4"/>
        <v>30146.416666666668</v>
      </c>
      <c r="F82" s="883">
        <f t="shared" si="5"/>
        <v>4521.9624999999996</v>
      </c>
      <c r="G82" s="217">
        <f t="shared" si="6"/>
        <v>678.29437499999995</v>
      </c>
    </row>
    <row r="83" spans="1:7" x14ac:dyDescent="0.15">
      <c r="A83" s="512">
        <v>41</v>
      </c>
      <c r="B83" s="219">
        <f>+'Statens skalatrin'!N126</f>
        <v>354249.23</v>
      </c>
      <c r="C83" s="877">
        <f t="shared" si="3"/>
        <v>29520.769166666665</v>
      </c>
      <c r="D83" s="881">
        <f>ROUND(B83*(1+'Løntabel gældende fra'!$D$7/100),0)</f>
        <v>369286</v>
      </c>
      <c r="E83" s="879">
        <f t="shared" si="4"/>
        <v>30773.833333333332</v>
      </c>
      <c r="F83" s="883">
        <f t="shared" si="5"/>
        <v>4616.0749999999998</v>
      </c>
      <c r="G83" s="217">
        <f t="shared" si="6"/>
        <v>692.41125</v>
      </c>
    </row>
    <row r="84" spans="1:7" x14ac:dyDescent="0.15">
      <c r="A84" s="512">
        <v>42</v>
      </c>
      <c r="B84" s="219">
        <f>+'Statens skalatrin'!N129</f>
        <v>361659.2</v>
      </c>
      <c r="C84" s="877">
        <f t="shared" si="3"/>
        <v>30138.266666666666</v>
      </c>
      <c r="D84" s="881">
        <f>ROUND(B84*(1+'Løntabel gældende fra'!$D$7/100),0)</f>
        <v>377010</v>
      </c>
      <c r="E84" s="879">
        <f t="shared" si="4"/>
        <v>31417.5</v>
      </c>
      <c r="F84" s="883">
        <f t="shared" si="5"/>
        <v>4712.625</v>
      </c>
      <c r="G84" s="217">
        <f t="shared" si="6"/>
        <v>706.89374999999995</v>
      </c>
    </row>
    <row r="85" spans="1:7" x14ac:dyDescent="0.15">
      <c r="A85" s="512">
        <v>43</v>
      </c>
      <c r="B85" s="219">
        <f>+'Statens skalatrin'!N132</f>
        <v>369688.53</v>
      </c>
      <c r="C85" s="877">
        <f t="shared" si="3"/>
        <v>30807.377500000002</v>
      </c>
      <c r="D85" s="881">
        <f>ROUND(B85*(1+'Løntabel gældende fra'!$D$7/100),0)</f>
        <v>385380</v>
      </c>
      <c r="E85" s="879">
        <f t="shared" si="4"/>
        <v>32115</v>
      </c>
      <c r="F85" s="883">
        <f t="shared" si="5"/>
        <v>4817.25</v>
      </c>
      <c r="G85" s="217">
        <f t="shared" si="6"/>
        <v>722.58749999999998</v>
      </c>
    </row>
    <row r="86" spans="1:7" x14ac:dyDescent="0.15">
      <c r="A86" s="512">
        <v>44</v>
      </c>
      <c r="B86" s="219">
        <f>+'Statens skalatrin'!N135</f>
        <v>377937.3</v>
      </c>
      <c r="C86" s="877">
        <f t="shared" si="3"/>
        <v>31494.774999999998</v>
      </c>
      <c r="D86" s="881">
        <f>ROUND(B86*(1+'Løntabel gældende fra'!$D$7/100),0)</f>
        <v>393979</v>
      </c>
      <c r="E86" s="879">
        <f t="shared" si="4"/>
        <v>32831.583333333336</v>
      </c>
      <c r="F86" s="883">
        <f t="shared" si="5"/>
        <v>4924.7375000000002</v>
      </c>
      <c r="G86" s="217">
        <f t="shared" si="6"/>
        <v>738.71062500000005</v>
      </c>
    </row>
    <row r="87" spans="1:7" x14ac:dyDescent="0.15">
      <c r="A87" s="512">
        <v>45</v>
      </c>
      <c r="B87" s="219">
        <f>+'Statens skalatrin'!N138</f>
        <v>386414.29</v>
      </c>
      <c r="C87" s="877">
        <f t="shared" si="3"/>
        <v>32201.19083333333</v>
      </c>
      <c r="D87" s="881">
        <f>ROUND(B87*(1+'Løntabel gældende fra'!$D$7/100),0)</f>
        <v>402816</v>
      </c>
      <c r="E87" s="879">
        <f t="shared" si="4"/>
        <v>33568</v>
      </c>
      <c r="F87" s="883">
        <f t="shared" si="5"/>
        <v>5035.2</v>
      </c>
      <c r="G87" s="217">
        <f t="shared" si="6"/>
        <v>755.28</v>
      </c>
    </row>
    <row r="88" spans="1:7" s="84" customFormat="1" x14ac:dyDescent="0.15">
      <c r="A88" s="512">
        <v>46</v>
      </c>
      <c r="B88" s="219">
        <f>+'Statens skalatrin'!N141</f>
        <v>395124.74</v>
      </c>
      <c r="C88" s="877">
        <f t="shared" si="3"/>
        <v>32927.061666666668</v>
      </c>
      <c r="D88" s="881">
        <f>ROUND(B88*(1+'Løntabel gældende fra'!$D$7/100),0)</f>
        <v>411896</v>
      </c>
      <c r="E88" s="879">
        <f t="shared" si="4"/>
        <v>34324.666666666664</v>
      </c>
      <c r="F88" s="883">
        <f t="shared" si="5"/>
        <v>5148.7</v>
      </c>
      <c r="G88" s="217">
        <f t="shared" si="6"/>
        <v>772.30499999999995</v>
      </c>
    </row>
    <row r="89" spans="1:7" s="84" customFormat="1" x14ac:dyDescent="0.15">
      <c r="A89" s="512">
        <v>47</v>
      </c>
      <c r="B89" s="219">
        <f>+'Statens skalatrin'!N144</f>
        <v>413268.87</v>
      </c>
      <c r="C89" s="877">
        <f t="shared" si="3"/>
        <v>34439.072500000002</v>
      </c>
      <c r="D89" s="881">
        <f>ROUND(B89*(1+'Løntabel gældende fra'!$D$7/100),0)</f>
        <v>430810</v>
      </c>
      <c r="E89" s="879">
        <f t="shared" si="4"/>
        <v>35900.833333333336</v>
      </c>
      <c r="F89" s="883">
        <f t="shared" si="5"/>
        <v>5385.125</v>
      </c>
      <c r="G89" s="217">
        <f t="shared" si="6"/>
        <v>807.76874999999995</v>
      </c>
    </row>
    <row r="90" spans="1:7" s="84" customFormat="1" x14ac:dyDescent="0.15">
      <c r="A90" s="512">
        <v>48</v>
      </c>
      <c r="B90" s="219">
        <f>+'Statens skalatrin'!N147</f>
        <v>441025.75</v>
      </c>
      <c r="C90" s="877">
        <f t="shared" si="3"/>
        <v>36752.145833333336</v>
      </c>
      <c r="D90" s="881">
        <f>ROUND(B90*(1+'Løntabel gældende fra'!$D$7/100),0)</f>
        <v>459746</v>
      </c>
      <c r="E90" s="879">
        <f t="shared" si="4"/>
        <v>38312.166666666664</v>
      </c>
      <c r="F90" s="883">
        <f t="shared" si="5"/>
        <v>5746.8249999999998</v>
      </c>
      <c r="G90" s="217">
        <f t="shared" si="6"/>
        <v>862.02374999999995</v>
      </c>
    </row>
    <row r="91" spans="1:7" s="29" customFormat="1" x14ac:dyDescent="0.15">
      <c r="A91" s="512">
        <v>49</v>
      </c>
      <c r="B91" s="219">
        <f>+'Statens skalatrin'!N150</f>
        <v>471780.9</v>
      </c>
      <c r="C91" s="877">
        <f t="shared" si="3"/>
        <v>39315.075000000004</v>
      </c>
      <c r="D91" s="881">
        <f>ROUND(B91*(1+'Løntabel gældende fra'!$D$7/100),0)</f>
        <v>491806</v>
      </c>
      <c r="E91" s="879">
        <f t="shared" si="4"/>
        <v>40983.833333333336</v>
      </c>
      <c r="F91" s="883">
        <f t="shared" si="5"/>
        <v>6147.5749999999998</v>
      </c>
      <c r="G91" s="217">
        <f t="shared" si="6"/>
        <v>922.1362499999999</v>
      </c>
    </row>
    <row r="92" spans="1:7" s="29" customFormat="1" ht="15" customHeight="1" thickBot="1" x14ac:dyDescent="0.2">
      <c r="A92" s="449">
        <v>50</v>
      </c>
      <c r="B92" s="196">
        <f>+'Statens skalatrin'!N153</f>
        <v>521094.47</v>
      </c>
      <c r="C92" s="878">
        <f t="shared" si="3"/>
        <v>43424.539166666662</v>
      </c>
      <c r="D92" s="882">
        <f>ROUND(B92*(1+'Løntabel gældende fra'!$D$7/100),0)</f>
        <v>543213</v>
      </c>
      <c r="E92" s="880">
        <f t="shared" si="4"/>
        <v>45267.75</v>
      </c>
      <c r="F92" s="884">
        <f t="shared" si="5"/>
        <v>6790.1624999999995</v>
      </c>
      <c r="G92" s="443">
        <f t="shared" si="6"/>
        <v>1018.5243749999998</v>
      </c>
    </row>
    <row r="93" spans="1:7" ht="93" customHeight="1" x14ac:dyDescent="0.15">
      <c r="A93" s="1223" t="s">
        <v>281</v>
      </c>
      <c r="B93" s="1223"/>
      <c r="C93" s="1223"/>
      <c r="D93" s="1223"/>
      <c r="E93" s="1223"/>
      <c r="F93" s="1223"/>
      <c r="G93" s="1223"/>
    </row>
    <row r="94" spans="1:7" s="84" customFormat="1" x14ac:dyDescent="0.15">
      <c r="A94" s="83"/>
      <c r="B94" s="83"/>
      <c r="C94" s="83"/>
      <c r="D94" s="83"/>
      <c r="E94" s="83"/>
      <c r="F94" s="83"/>
      <c r="G94" s="83"/>
    </row>
    <row r="95" spans="1:7" s="84" customFormat="1" ht="15" customHeight="1" x14ac:dyDescent="0.15">
      <c r="A95" s="1163"/>
      <c r="B95" s="1163"/>
      <c r="C95" s="1163"/>
      <c r="D95" s="1163"/>
      <c r="E95" s="1163"/>
      <c r="F95" s="1163"/>
      <c r="G95" s="1163"/>
    </row>
    <row r="96" spans="1:7" x14ac:dyDescent="0.15">
      <c r="A96" s="7"/>
      <c r="B96" s="7"/>
      <c r="C96" s="7"/>
      <c r="D96" s="7"/>
      <c r="E96" s="7"/>
      <c r="F96" s="7"/>
      <c r="G96" s="7"/>
    </row>
    <row r="97" spans="1:7" x14ac:dyDescent="0.15">
      <c r="A97" s="7"/>
      <c r="B97" s="7"/>
      <c r="C97" s="7"/>
      <c r="D97" s="7"/>
      <c r="E97" s="7"/>
      <c r="F97" s="7"/>
      <c r="G97" s="7"/>
    </row>
    <row r="98" spans="1:7" x14ac:dyDescent="0.15">
      <c r="A98" s="7"/>
      <c r="B98" s="7"/>
      <c r="C98" s="7"/>
      <c r="D98" s="7"/>
      <c r="E98" s="7"/>
      <c r="F98" s="7"/>
      <c r="G98" s="7"/>
    </row>
    <row r="99" spans="1:7" x14ac:dyDescent="0.15">
      <c r="A99" s="7"/>
      <c r="B99" s="7"/>
      <c r="C99" s="7"/>
      <c r="D99" s="7"/>
      <c r="E99" s="7"/>
      <c r="F99" s="7"/>
      <c r="G99" s="7"/>
    </row>
    <row r="100" spans="1:7" x14ac:dyDescent="0.15">
      <c r="A100" s="7"/>
      <c r="B100" s="7"/>
      <c r="C100" s="7"/>
      <c r="D100" s="7"/>
      <c r="E100" s="7"/>
      <c r="F100" s="7"/>
      <c r="G100" s="7"/>
    </row>
    <row r="101" spans="1:7" x14ac:dyDescent="0.15">
      <c r="A101" s="7"/>
      <c r="B101" s="7"/>
      <c r="C101" s="7"/>
      <c r="D101" s="7"/>
      <c r="E101" s="7"/>
      <c r="F101" s="7"/>
      <c r="G101" s="7"/>
    </row>
    <row r="102" spans="1:7" x14ac:dyDescent="0.15">
      <c r="A102" s="7"/>
      <c r="B102" s="7"/>
      <c r="C102" s="7"/>
      <c r="D102" s="7"/>
      <c r="E102" s="7"/>
      <c r="F102" s="7"/>
      <c r="G102" s="7"/>
    </row>
    <row r="103" spans="1:7" x14ac:dyDescent="0.15">
      <c r="A103" s="7"/>
      <c r="B103" s="7"/>
      <c r="C103" s="7"/>
      <c r="D103" s="7"/>
      <c r="E103" s="7"/>
      <c r="F103" s="7"/>
      <c r="G103" s="7"/>
    </row>
    <row r="104" spans="1:7" x14ac:dyDescent="0.15">
      <c r="A104" s="7"/>
      <c r="B104" s="7"/>
      <c r="C104" s="7"/>
      <c r="D104" s="7"/>
      <c r="E104" s="7"/>
      <c r="F104" s="7"/>
      <c r="G104" s="7"/>
    </row>
    <row r="105" spans="1:7" x14ac:dyDescent="0.15">
      <c r="A105" s="7"/>
      <c r="B105" s="7"/>
      <c r="C105" s="7"/>
      <c r="D105" s="7"/>
      <c r="E105" s="7"/>
      <c r="F105" s="7"/>
      <c r="G105" s="7"/>
    </row>
    <row r="106" spans="1:7" x14ac:dyDescent="0.15">
      <c r="A106" s="7"/>
      <c r="B106" s="7"/>
      <c r="C106" s="7"/>
      <c r="D106" s="7"/>
      <c r="E106" s="7"/>
      <c r="F106" s="7"/>
      <c r="G106" s="7"/>
    </row>
    <row r="107" spans="1:7" x14ac:dyDescent="0.15">
      <c r="A107" s="7"/>
      <c r="B107" s="7"/>
      <c r="C107" s="7"/>
      <c r="D107" s="7"/>
      <c r="E107" s="7"/>
      <c r="F107" s="7"/>
      <c r="G107" s="7"/>
    </row>
    <row r="108" spans="1:7" x14ac:dyDescent="0.15">
      <c r="A108" s="7"/>
      <c r="B108" s="7"/>
      <c r="C108" s="7"/>
      <c r="D108" s="7"/>
      <c r="E108" s="7"/>
      <c r="F108" s="7"/>
      <c r="G108" s="7"/>
    </row>
    <row r="109" spans="1:7" x14ac:dyDescent="0.15">
      <c r="A109" s="7"/>
      <c r="B109" s="7"/>
      <c r="C109" s="7"/>
      <c r="D109" s="7"/>
      <c r="E109" s="7"/>
      <c r="F109" s="7"/>
      <c r="G109" s="7"/>
    </row>
    <row r="110" spans="1:7" x14ac:dyDescent="0.15">
      <c r="A110" s="7"/>
      <c r="B110" s="7"/>
      <c r="C110" s="7"/>
      <c r="D110" s="7"/>
      <c r="E110" s="7"/>
      <c r="F110" s="7"/>
      <c r="G110" s="7"/>
    </row>
    <row r="111" spans="1:7" x14ac:dyDescent="0.15">
      <c r="A111" s="7"/>
      <c r="B111" s="7"/>
      <c r="C111" s="7"/>
      <c r="D111" s="7"/>
      <c r="E111" s="7"/>
      <c r="F111" s="7"/>
      <c r="G111" s="7"/>
    </row>
    <row r="112" spans="1:7" x14ac:dyDescent="0.15">
      <c r="A112" s="7"/>
      <c r="B112" s="7"/>
      <c r="C112" s="7"/>
      <c r="D112" s="7"/>
      <c r="E112" s="7"/>
      <c r="F112" s="7"/>
      <c r="G112" s="7"/>
    </row>
    <row r="113" spans="1:7" x14ac:dyDescent="0.15">
      <c r="A113" s="7"/>
      <c r="B113" s="7"/>
      <c r="C113" s="7"/>
      <c r="D113" s="7"/>
      <c r="E113" s="7"/>
      <c r="F113" s="7"/>
      <c r="G113" s="7"/>
    </row>
    <row r="114" spans="1:7" x14ac:dyDescent="0.15">
      <c r="A114" s="7"/>
      <c r="B114" s="7"/>
      <c r="C114" s="7"/>
      <c r="D114" s="7"/>
      <c r="E114" s="7"/>
      <c r="F114" s="7"/>
      <c r="G114" s="7"/>
    </row>
    <row r="115" spans="1:7" x14ac:dyDescent="0.15">
      <c r="A115" s="7"/>
      <c r="B115" s="7"/>
      <c r="C115" s="7"/>
      <c r="D115" s="7"/>
      <c r="E115" s="7"/>
      <c r="F115" s="7"/>
      <c r="G115" s="7"/>
    </row>
    <row r="116" spans="1:7" x14ac:dyDescent="0.15">
      <c r="A116" s="7"/>
      <c r="B116" s="7"/>
      <c r="C116" s="7"/>
      <c r="D116" s="7"/>
      <c r="E116" s="7"/>
      <c r="F116" s="7"/>
      <c r="G116" s="7"/>
    </row>
    <row r="117" spans="1:7" x14ac:dyDescent="0.15">
      <c r="A117" s="7"/>
      <c r="B117" s="7"/>
      <c r="C117" s="7"/>
      <c r="D117" s="7"/>
      <c r="E117" s="7"/>
      <c r="F117" s="7"/>
      <c r="G117" s="7"/>
    </row>
    <row r="118" spans="1:7" x14ac:dyDescent="0.15">
      <c r="A118" s="7"/>
      <c r="B118" s="7"/>
      <c r="C118" s="7"/>
      <c r="D118" s="7"/>
      <c r="E118" s="7"/>
      <c r="F118" s="7"/>
      <c r="G118" s="7"/>
    </row>
    <row r="119" spans="1:7" x14ac:dyDescent="0.15">
      <c r="A119" s="7"/>
      <c r="B119" s="7"/>
      <c r="C119" s="7"/>
      <c r="D119" s="7"/>
      <c r="E119" s="7"/>
      <c r="F119" s="7"/>
      <c r="G119" s="7"/>
    </row>
    <row r="120" spans="1:7" x14ac:dyDescent="0.15">
      <c r="A120" s="7"/>
      <c r="B120" s="7"/>
      <c r="C120" s="7"/>
      <c r="D120" s="7"/>
      <c r="E120" s="7"/>
      <c r="F120" s="7"/>
      <c r="G120" s="7"/>
    </row>
    <row r="121" spans="1:7" x14ac:dyDescent="0.15">
      <c r="A121" s="7"/>
      <c r="B121" s="7"/>
      <c r="C121" s="7"/>
      <c r="D121" s="7"/>
      <c r="E121" s="7"/>
      <c r="F121" s="7"/>
      <c r="G121" s="7"/>
    </row>
    <row r="122" spans="1:7" x14ac:dyDescent="0.15">
      <c r="A122" s="1"/>
      <c r="B122" s="1"/>
      <c r="C122" s="1"/>
      <c r="D122" s="1"/>
      <c r="E122" s="1"/>
      <c r="F122" s="1"/>
      <c r="G122" s="1"/>
    </row>
    <row r="123" spans="1:7" x14ac:dyDescent="0.15">
      <c r="A123" s="1"/>
      <c r="B123" s="1"/>
      <c r="C123" s="1"/>
      <c r="D123" s="1"/>
      <c r="E123" s="1"/>
      <c r="F123" s="1"/>
      <c r="G123" s="1"/>
    </row>
    <row r="124" spans="1:7" x14ac:dyDescent="0.15">
      <c r="A124" s="1"/>
      <c r="B124" s="1"/>
      <c r="C124" s="1"/>
      <c r="D124" s="1"/>
      <c r="E124" s="1"/>
      <c r="F124" s="1"/>
      <c r="G124" s="1"/>
    </row>
    <row r="125" spans="1:7" x14ac:dyDescent="0.15">
      <c r="A125" s="1"/>
      <c r="B125" s="1"/>
      <c r="C125" s="1"/>
      <c r="D125" s="1"/>
      <c r="E125" s="1"/>
      <c r="F125" s="1"/>
      <c r="G125" s="1"/>
    </row>
  </sheetData>
  <sheetProtection sheet="1" objects="1" scenarios="1"/>
  <mergeCells count="67">
    <mergeCell ref="A93:G93"/>
    <mergeCell ref="A56:G56"/>
    <mergeCell ref="A57:G57"/>
    <mergeCell ref="A58:G58"/>
    <mergeCell ref="B60:G60"/>
    <mergeCell ref="A60:A62"/>
    <mergeCell ref="A65:A67"/>
    <mergeCell ref="B65:G65"/>
    <mergeCell ref="G70:G71"/>
    <mergeCell ref="A70:A72"/>
    <mergeCell ref="B70:C70"/>
    <mergeCell ref="D70:E70"/>
    <mergeCell ref="D71:E71"/>
    <mergeCell ref="B67:G68"/>
    <mergeCell ref="A42:E42"/>
    <mergeCell ref="A43:F43"/>
    <mergeCell ref="A45:C47"/>
    <mergeCell ref="C36:D36"/>
    <mergeCell ref="B62:G63"/>
    <mergeCell ref="A39:B39"/>
    <mergeCell ref="A40:B40"/>
    <mergeCell ref="A41:B41"/>
    <mergeCell ref="A44:F44"/>
    <mergeCell ref="A49:G49"/>
    <mergeCell ref="B50:G50"/>
    <mergeCell ref="A51:A54"/>
    <mergeCell ref="B51:D52"/>
    <mergeCell ref="A1:G1"/>
    <mergeCell ref="A2:G2"/>
    <mergeCell ref="A3:G3"/>
    <mergeCell ref="A13:B13"/>
    <mergeCell ref="A11:B11"/>
    <mergeCell ref="C8:D8"/>
    <mergeCell ref="E8:F8"/>
    <mergeCell ref="A10:B10"/>
    <mergeCell ref="C9:D9"/>
    <mergeCell ref="E9:F9"/>
    <mergeCell ref="A8:B9"/>
    <mergeCell ref="A7:F7"/>
    <mergeCell ref="A5:F6"/>
    <mergeCell ref="N4:P4"/>
    <mergeCell ref="N5:P5"/>
    <mergeCell ref="N6:P6"/>
    <mergeCell ref="A95:G95"/>
    <mergeCell ref="C34:D34"/>
    <mergeCell ref="E36:F36"/>
    <mergeCell ref="A37:A38"/>
    <mergeCell ref="A31:F32"/>
    <mergeCell ref="N31:P31"/>
    <mergeCell ref="N32:P32"/>
    <mergeCell ref="A15:F16"/>
    <mergeCell ref="C18:D18"/>
    <mergeCell ref="E20:F20"/>
    <mergeCell ref="A12:B12"/>
    <mergeCell ref="C10:D10"/>
    <mergeCell ref="E10:F10"/>
    <mergeCell ref="C35:D35"/>
    <mergeCell ref="E35:F35"/>
    <mergeCell ref="A34:B35"/>
    <mergeCell ref="A17:F17"/>
    <mergeCell ref="C20:D20"/>
    <mergeCell ref="E18:F18"/>
    <mergeCell ref="C19:D19"/>
    <mergeCell ref="E19:F19"/>
    <mergeCell ref="A18:B19"/>
    <mergeCell ref="A33:F33"/>
    <mergeCell ref="E34:F34"/>
  </mergeCells>
  <phoneticPr fontId="6" type="noConversion"/>
  <pageMargins left="0.43307086614173229" right="0.39370078740157483" top="0.39370078740157483" bottom="0.39370078740157483" header="0.19685039370078741" footer="0.19685039370078741"/>
  <pageSetup paperSize="9" scale="71" orientation="portrait" r:id="rId1"/>
  <headerFooter>
    <oddFooter>&amp;C&amp;"Times New Roman,Normal"&amp;8&amp;K000000Løntabel for Ledere ved frie grundskoler&amp;R&amp;"Times New Roman,Normal"&amp;8&amp;K000000Side &amp;P af i alt &amp;N sider</oddFooter>
  </headerFooter>
  <rowBreaks count="1" manualBreakCount="1">
    <brk id="55" max="16383" man="1"/>
  </rowBreaks>
  <colBreaks count="1" manualBreakCount="1">
    <brk id="8" max="1048575" man="1"/>
  </colBreaks>
  <ignoredErrors>
    <ignoredError sqref="D73:D74 D75:D9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88"/>
  <sheetViews>
    <sheetView view="pageBreakPreview" topLeftCell="A39" zoomScaleSheetLayoutView="100" workbookViewId="0">
      <selection activeCell="A50" sqref="A50:I50"/>
    </sheetView>
  </sheetViews>
  <sheetFormatPr baseColWidth="10" defaultColWidth="8.83203125" defaultRowHeight="14" x14ac:dyDescent="0.15"/>
  <cols>
    <col min="1" max="1" width="8.6640625" style="273" customWidth="1"/>
    <col min="2" max="10" width="17" style="273" customWidth="1"/>
    <col min="11" max="16384" width="8.83203125" style="273"/>
  </cols>
  <sheetData>
    <row r="1" spans="1:10" ht="20" x14ac:dyDescent="0.2">
      <c r="A1" s="1057" t="s">
        <v>20</v>
      </c>
      <c r="B1" s="1058"/>
      <c r="C1" s="1058"/>
      <c r="D1" s="1058"/>
      <c r="E1" s="1058"/>
      <c r="F1" s="1058"/>
      <c r="G1" s="1058"/>
      <c r="H1" s="1058"/>
      <c r="I1" s="1058"/>
      <c r="J1" s="1059"/>
    </row>
    <row r="2" spans="1:10" ht="20" x14ac:dyDescent="0.2">
      <c r="A2" s="1072" t="s">
        <v>186</v>
      </c>
      <c r="B2" s="1073"/>
      <c r="C2" s="1073"/>
      <c r="D2" s="1073"/>
      <c r="E2" s="1073"/>
      <c r="F2" s="1073"/>
      <c r="G2" s="1073"/>
      <c r="H2" s="1073"/>
      <c r="I2" s="1073"/>
      <c r="J2" s="1074"/>
    </row>
    <row r="3" spans="1:10" ht="21" thickBot="1" x14ac:dyDescent="0.25">
      <c r="A3" s="1177" t="str">
        <f>'Forside 1'!A6:I6</f>
        <v>Gældende for perioden: 1. april 2017 til 30. november 2017</v>
      </c>
      <c r="B3" s="1178"/>
      <c r="C3" s="1178"/>
      <c r="D3" s="1178"/>
      <c r="E3" s="1178"/>
      <c r="F3" s="1178"/>
      <c r="G3" s="1178"/>
      <c r="H3" s="1178"/>
      <c r="I3" s="1178"/>
      <c r="J3" s="1179"/>
    </row>
    <row r="4" spans="1:10" ht="21" thickBot="1" x14ac:dyDescent="0.25">
      <c r="A4" s="1292"/>
      <c r="B4" s="1292"/>
      <c r="C4" s="1292"/>
      <c r="D4" s="1292"/>
      <c r="E4" s="1292"/>
      <c r="F4" s="1292"/>
      <c r="G4" s="1292"/>
      <c r="H4" s="1292"/>
      <c r="I4" s="1292"/>
      <c r="J4" s="1292"/>
    </row>
    <row r="5" spans="1:10" ht="3" customHeight="1" thickBot="1" x14ac:dyDescent="0.2">
      <c r="A5" s="684"/>
      <c r="B5" s="684"/>
      <c r="C5" s="684"/>
      <c r="D5" s="684"/>
      <c r="E5" s="684"/>
      <c r="F5" s="684"/>
      <c r="G5" s="684"/>
      <c r="H5" s="684"/>
      <c r="I5" s="684"/>
      <c r="J5" s="684"/>
    </row>
    <row r="6" spans="1:10" ht="26" customHeight="1" thickBot="1" x14ac:dyDescent="0.2">
      <c r="A6" s="1262" t="s">
        <v>364</v>
      </c>
      <c r="B6" s="1263"/>
      <c r="C6" s="1263"/>
      <c r="D6" s="1263"/>
      <c r="E6" s="1263"/>
      <c r="F6" s="1264"/>
      <c r="G6" s="1287" t="s">
        <v>203</v>
      </c>
      <c r="H6" s="1290"/>
      <c r="I6" s="1290"/>
      <c r="J6" s="1291"/>
    </row>
    <row r="7" spans="1:10" ht="26" customHeight="1" thickBot="1" x14ac:dyDescent="0.2">
      <c r="A7" s="1265" t="s">
        <v>391</v>
      </c>
      <c r="B7" s="1266"/>
      <c r="C7" s="1266"/>
      <c r="D7" s="1266"/>
      <c r="E7" s="1266"/>
      <c r="F7" s="1266"/>
      <c r="G7" s="1266"/>
      <c r="H7" s="1266"/>
      <c r="I7" s="1266"/>
      <c r="J7" s="1267"/>
    </row>
    <row r="8" spans="1:10" ht="28" x14ac:dyDescent="0.15">
      <c r="A8" s="718" t="s">
        <v>59</v>
      </c>
      <c r="B8" s="718" t="s">
        <v>78</v>
      </c>
      <c r="C8" s="718" t="s">
        <v>79</v>
      </c>
      <c r="D8" s="718" t="s">
        <v>80</v>
      </c>
      <c r="E8" s="718" t="s">
        <v>81</v>
      </c>
      <c r="F8" s="718" t="s">
        <v>82</v>
      </c>
      <c r="G8" s="718" t="s">
        <v>265</v>
      </c>
      <c r="H8" s="718" t="s">
        <v>338</v>
      </c>
      <c r="I8" s="718" t="s">
        <v>339</v>
      </c>
      <c r="J8" s="719">
        <v>0.14699999999999999</v>
      </c>
    </row>
    <row r="9" spans="1:10" ht="16" x14ac:dyDescent="0.2">
      <c r="A9" s="790">
        <v>14</v>
      </c>
      <c r="B9" s="791">
        <f>+'Statens skalatrin'!D46</f>
        <v>19772.669999999998</v>
      </c>
      <c r="C9" s="791">
        <f>+'Statens skalatrin'!F46</f>
        <v>20184.419999999998</v>
      </c>
      <c r="D9" s="791">
        <f>+'Statens skalatrin'!H46</f>
        <v>20469.5</v>
      </c>
      <c r="E9" s="791">
        <f>+'Statens skalatrin'!J46</f>
        <v>20881.169999999998</v>
      </c>
      <c r="F9" s="791">
        <f>+'Statens skalatrin'!L46</f>
        <v>21166.17</v>
      </c>
      <c r="G9" s="792">
        <f>+'Statens skalatrin'!O46</f>
        <v>18486.849999999999</v>
      </c>
      <c r="H9" s="792">
        <f>J9/3*1</f>
        <v>905.85564999999986</v>
      </c>
      <c r="I9" s="792">
        <f>J9/3*2</f>
        <v>1811.7112999999997</v>
      </c>
      <c r="J9" s="792">
        <f>G9*$J$8</f>
        <v>2717.5669499999995</v>
      </c>
    </row>
    <row r="10" spans="1:10" ht="16" x14ac:dyDescent="0.2">
      <c r="A10" s="790">
        <v>15</v>
      </c>
      <c r="B10" s="791">
        <f>+'Statens skalatrin'!D49</f>
        <v>20123.5</v>
      </c>
      <c r="C10" s="791">
        <f>+'Statens skalatrin'!F49</f>
        <v>20545.5</v>
      </c>
      <c r="D10" s="791">
        <f>+'Statens skalatrin'!H49</f>
        <v>20837.669999999998</v>
      </c>
      <c r="E10" s="791">
        <f>+'Statens skalatrin'!J49</f>
        <v>21259.83</v>
      </c>
      <c r="F10" s="791">
        <f>+'Statens skalatrin'!L49</f>
        <v>21552.080000000002</v>
      </c>
      <c r="G10" s="792">
        <f>+'Statens skalatrin'!O49</f>
        <v>18815.43</v>
      </c>
      <c r="H10" s="792">
        <f t="shared" ref="H10:H33" si="0">J10/3*1</f>
        <v>921.95607000000007</v>
      </c>
      <c r="I10" s="792">
        <f t="shared" ref="I10:I33" si="1">J10/3*2</f>
        <v>1843.9121400000001</v>
      </c>
      <c r="J10" s="792">
        <f>G10*$J$8</f>
        <v>2765.8682100000001</v>
      </c>
    </row>
    <row r="11" spans="1:10" ht="16" x14ac:dyDescent="0.2">
      <c r="A11" s="790">
        <v>16</v>
      </c>
      <c r="B11" s="791">
        <f>'Statens skalatrin'!D52</f>
        <v>20392.25</v>
      </c>
      <c r="C11" s="791">
        <f>+'Statens skalatrin'!F52</f>
        <v>20825</v>
      </c>
      <c r="D11" s="791">
        <f>+'Statens skalatrin'!H52</f>
        <v>21124.75</v>
      </c>
      <c r="E11" s="791">
        <f>+'Statens skalatrin'!J52</f>
        <v>21557.42</v>
      </c>
      <c r="F11" s="791">
        <f>+'Statens skalatrin'!L52</f>
        <v>21857.17</v>
      </c>
      <c r="G11" s="792">
        <f>+'Statens skalatrin'!O52</f>
        <v>19153.25</v>
      </c>
      <c r="H11" s="792">
        <f t="shared" si="0"/>
        <v>938.50924999999995</v>
      </c>
      <c r="I11" s="792">
        <f t="shared" si="1"/>
        <v>1877.0184999999999</v>
      </c>
      <c r="J11" s="792">
        <f>G11*$J$8</f>
        <v>2815.5277499999997</v>
      </c>
    </row>
    <row r="12" spans="1:10" ht="16" x14ac:dyDescent="0.2">
      <c r="A12" s="790">
        <v>17</v>
      </c>
      <c r="B12" s="791">
        <f>'Statens skalatrin'!D55</f>
        <v>20762.5</v>
      </c>
      <c r="C12" s="791">
        <f>+'Statens skalatrin'!F55</f>
        <v>21206.33</v>
      </c>
      <c r="D12" s="791">
        <f>+'Statens skalatrin'!H55</f>
        <v>21513.58</v>
      </c>
      <c r="E12" s="791">
        <f>+'Statens skalatrin'!J55</f>
        <v>21957.33</v>
      </c>
      <c r="F12" s="791">
        <f>+'Statens skalatrin'!L55</f>
        <v>22264.42</v>
      </c>
      <c r="G12" s="792">
        <f>+'Statens skalatrin'!O55</f>
        <v>19500.169999999998</v>
      </c>
      <c r="H12" s="792">
        <f t="shared" si="0"/>
        <v>955.50832999999977</v>
      </c>
      <c r="I12" s="792">
        <f t="shared" si="1"/>
        <v>1911.0166599999995</v>
      </c>
      <c r="J12" s="792">
        <f t="shared" ref="J12:J33" si="2">G12*$J$8</f>
        <v>2866.5249899999994</v>
      </c>
    </row>
    <row r="13" spans="1:10" ht="16" x14ac:dyDescent="0.2">
      <c r="A13" s="790">
        <v>18</v>
      </c>
      <c r="B13" s="791">
        <f>'Statens skalatrin'!D58</f>
        <v>21143.17</v>
      </c>
      <c r="C13" s="791">
        <f>+'Statens skalatrin'!F58</f>
        <v>21598.25</v>
      </c>
      <c r="D13" s="791">
        <f>+'Statens skalatrin'!H58</f>
        <v>21913.25</v>
      </c>
      <c r="E13" s="791">
        <f>+'Statens skalatrin'!J58</f>
        <v>22368.25</v>
      </c>
      <c r="F13" s="791">
        <f>+'Statens skalatrin'!L58</f>
        <v>22683.17</v>
      </c>
      <c r="G13" s="792">
        <f>+'Statens skalatrin'!O58</f>
        <v>19856.82</v>
      </c>
      <c r="H13" s="792">
        <f t="shared" si="0"/>
        <v>972.98417999999992</v>
      </c>
      <c r="I13" s="792">
        <f t="shared" si="1"/>
        <v>1945.9683599999998</v>
      </c>
      <c r="J13" s="792">
        <f t="shared" si="2"/>
        <v>2918.9525399999998</v>
      </c>
    </row>
    <row r="14" spans="1:10" ht="16" x14ac:dyDescent="0.2">
      <c r="A14" s="790">
        <v>19</v>
      </c>
      <c r="B14" s="791">
        <f>'Statens skalatrin'!D61</f>
        <v>21427.25</v>
      </c>
      <c r="C14" s="791">
        <f>+'Statens skalatrin'!F61</f>
        <v>21893.919999999998</v>
      </c>
      <c r="D14" s="791">
        <f>+'Statens skalatrin'!H61</f>
        <v>22216.75</v>
      </c>
      <c r="E14" s="791">
        <f>+'Statens skalatrin'!J61</f>
        <v>22683.5</v>
      </c>
      <c r="F14" s="791">
        <f>+'Statens skalatrin'!L61</f>
        <v>23006.67</v>
      </c>
      <c r="G14" s="792">
        <f>+'Statens skalatrin'!O61</f>
        <v>20223.18</v>
      </c>
      <c r="H14" s="792">
        <f t="shared" si="0"/>
        <v>990.93582000000004</v>
      </c>
      <c r="I14" s="792">
        <f t="shared" si="1"/>
        <v>1981.8716400000001</v>
      </c>
      <c r="J14" s="792">
        <f t="shared" si="2"/>
        <v>2972.80746</v>
      </c>
    </row>
    <row r="15" spans="1:10" ht="16" x14ac:dyDescent="0.2">
      <c r="A15" s="790">
        <v>20</v>
      </c>
      <c r="B15" s="791">
        <f>+'Statens skalatrin'!D64</f>
        <v>21722.25</v>
      </c>
      <c r="C15" s="791">
        <f>+'Statens skalatrin'!F64</f>
        <v>22200.58</v>
      </c>
      <c r="D15" s="791">
        <f>+'Statens skalatrin'!H64</f>
        <v>22531.919999999998</v>
      </c>
      <c r="E15" s="791">
        <f>+'Statens skalatrin'!J64</f>
        <v>23010.42</v>
      </c>
      <c r="F15" s="791">
        <f>+'Statens skalatrin'!L64</f>
        <v>23341.58</v>
      </c>
      <c r="G15" s="792">
        <f>+'Statens skalatrin'!O64</f>
        <v>20599.57</v>
      </c>
      <c r="H15" s="792">
        <f t="shared" si="0"/>
        <v>1009.3789299999999</v>
      </c>
      <c r="I15" s="792">
        <f t="shared" si="1"/>
        <v>2018.7578599999997</v>
      </c>
      <c r="J15" s="792">
        <f t="shared" si="2"/>
        <v>3028.1367899999996</v>
      </c>
    </row>
    <row r="16" spans="1:10" ht="16" x14ac:dyDescent="0.2">
      <c r="A16" s="790">
        <v>21</v>
      </c>
      <c r="B16" s="791">
        <f>+'Statens skalatrin'!D67</f>
        <v>22081.75</v>
      </c>
      <c r="C16" s="791">
        <f>+'Statens skalatrin'!F67</f>
        <v>22572.5</v>
      </c>
      <c r="D16" s="791">
        <f>+'Statens skalatrin'!H67</f>
        <v>22912.25</v>
      </c>
      <c r="E16" s="791">
        <f>+'Statens skalatrin'!J67</f>
        <v>23403</v>
      </c>
      <c r="F16" s="791">
        <f>+'Statens skalatrin'!L67</f>
        <v>23742.75</v>
      </c>
      <c r="G16" s="792">
        <f>+'Statens skalatrin'!O67</f>
        <v>20986.46</v>
      </c>
      <c r="H16" s="792">
        <f t="shared" si="0"/>
        <v>1028.33654</v>
      </c>
      <c r="I16" s="792">
        <f t="shared" si="1"/>
        <v>2056.67308</v>
      </c>
      <c r="J16" s="792">
        <f t="shared" si="2"/>
        <v>3085.0096199999998</v>
      </c>
    </row>
    <row r="17" spans="1:10" ht="16" x14ac:dyDescent="0.2">
      <c r="A17" s="790">
        <v>22</v>
      </c>
      <c r="B17" s="791">
        <f>+'Statens skalatrin'!D70</f>
        <v>22414.92</v>
      </c>
      <c r="C17" s="791">
        <f>+'Statens skalatrin'!F70</f>
        <v>22905.67</v>
      </c>
      <c r="D17" s="791">
        <f>+'Statens skalatrin'!H70</f>
        <v>23245.42</v>
      </c>
      <c r="E17" s="791">
        <f>+'Statens skalatrin'!J70</f>
        <v>23736.17</v>
      </c>
      <c r="F17" s="791">
        <f>+'Statens skalatrin'!L70</f>
        <v>24075.919999999998</v>
      </c>
      <c r="G17" s="792">
        <f>+'Statens skalatrin'!O70</f>
        <v>21373.040000000001</v>
      </c>
      <c r="H17" s="792">
        <f t="shared" si="0"/>
        <v>1047.2789599999999</v>
      </c>
      <c r="I17" s="792">
        <f t="shared" si="1"/>
        <v>2094.5579199999997</v>
      </c>
      <c r="J17" s="792">
        <f t="shared" si="2"/>
        <v>3141.8368799999998</v>
      </c>
    </row>
    <row r="18" spans="1:10" ht="16" x14ac:dyDescent="0.2">
      <c r="A18" s="790">
        <v>23</v>
      </c>
      <c r="B18" s="791">
        <f>+'Statens skalatrin'!D73</f>
        <v>22772</v>
      </c>
      <c r="C18" s="791">
        <f>+'Statens skalatrin'!F73</f>
        <v>23249.08</v>
      </c>
      <c r="D18" s="791">
        <f>+'Statens skalatrin'!H73</f>
        <v>23579.58</v>
      </c>
      <c r="E18" s="791">
        <f>+'Statens skalatrin'!J73</f>
        <v>24056.83</v>
      </c>
      <c r="F18" s="791">
        <f>+'Statens skalatrin'!L73</f>
        <v>24387.17</v>
      </c>
      <c r="G18" s="792">
        <f>+'Statens skalatrin'!O73</f>
        <v>21758.68</v>
      </c>
      <c r="H18" s="792">
        <f t="shared" si="0"/>
        <v>1066.1753200000001</v>
      </c>
      <c r="I18" s="792">
        <f t="shared" si="1"/>
        <v>2132.3506400000001</v>
      </c>
      <c r="J18" s="792">
        <f t="shared" si="2"/>
        <v>3198.5259599999999</v>
      </c>
    </row>
    <row r="19" spans="1:10" ht="16" x14ac:dyDescent="0.2">
      <c r="A19" s="790">
        <v>24</v>
      </c>
      <c r="B19" s="791">
        <f>+'Statens skalatrin'!D76</f>
        <v>23139.83</v>
      </c>
      <c r="C19" s="791">
        <f>+'Statens skalatrin'!F76</f>
        <v>23603.58</v>
      </c>
      <c r="D19" s="791">
        <f>+'Statens skalatrin'!H76</f>
        <v>23924.67</v>
      </c>
      <c r="E19" s="791">
        <f>+'Statens skalatrin'!J76</f>
        <v>24388.5</v>
      </c>
      <c r="F19" s="791">
        <f>+'Statens skalatrin'!L76</f>
        <v>24709.5</v>
      </c>
      <c r="G19" s="792">
        <f>+'Statens skalatrin'!O76</f>
        <v>22155.279999999999</v>
      </c>
      <c r="H19" s="792">
        <f t="shared" si="0"/>
        <v>1085.6087199999999</v>
      </c>
      <c r="I19" s="792">
        <f t="shared" si="1"/>
        <v>2171.2174399999999</v>
      </c>
      <c r="J19" s="792">
        <f t="shared" si="2"/>
        <v>3256.8261599999996</v>
      </c>
    </row>
    <row r="20" spans="1:10" ht="16" x14ac:dyDescent="0.2">
      <c r="A20" s="790">
        <v>25</v>
      </c>
      <c r="B20" s="791">
        <f>+'Statens skalatrin'!D79</f>
        <v>23515.919999999998</v>
      </c>
      <c r="C20" s="791">
        <f>+'Statens skalatrin'!F79</f>
        <v>23965.25</v>
      </c>
      <c r="D20" s="791">
        <f>+'Statens skalatrin'!H79</f>
        <v>24276.33</v>
      </c>
      <c r="E20" s="791">
        <f>+'Statens skalatrin'!J79</f>
        <v>24725.58</v>
      </c>
      <c r="F20" s="791">
        <f>+'Statens skalatrin'!L79</f>
        <v>25036.58</v>
      </c>
      <c r="G20" s="792">
        <f>+'Statens skalatrin'!O79</f>
        <v>22562.15</v>
      </c>
      <c r="H20" s="792">
        <f t="shared" si="0"/>
        <v>1105.5453500000001</v>
      </c>
      <c r="I20" s="792">
        <f t="shared" si="1"/>
        <v>2211.0907000000002</v>
      </c>
      <c r="J20" s="792">
        <f t="shared" si="2"/>
        <v>3316.6360500000001</v>
      </c>
    </row>
    <row r="21" spans="1:10" ht="16" x14ac:dyDescent="0.2">
      <c r="A21" s="790">
        <v>26</v>
      </c>
      <c r="B21" s="791">
        <f>+'Statens skalatrin'!D82</f>
        <v>23900.75</v>
      </c>
      <c r="C21" s="791">
        <f>+'Statens skalatrin'!F82</f>
        <v>24334.42</v>
      </c>
      <c r="D21" s="791">
        <f>+'Statens skalatrin'!H82</f>
        <v>24634.75</v>
      </c>
      <c r="E21" s="791">
        <f>+'Statens skalatrin'!J82</f>
        <v>25068.5</v>
      </c>
      <c r="F21" s="791">
        <f>+'Statens skalatrin'!L82</f>
        <v>25368.67</v>
      </c>
      <c r="G21" s="792">
        <f>+'Statens skalatrin'!O82</f>
        <v>22979.73</v>
      </c>
      <c r="H21" s="792">
        <f t="shared" si="0"/>
        <v>1126.00677</v>
      </c>
      <c r="I21" s="792">
        <f t="shared" si="1"/>
        <v>2252.0135399999999</v>
      </c>
      <c r="J21" s="792">
        <f t="shared" si="2"/>
        <v>3378.0203099999999</v>
      </c>
    </row>
    <row r="22" spans="1:10" ht="16" x14ac:dyDescent="0.2">
      <c r="A22" s="790">
        <v>27</v>
      </c>
      <c r="B22" s="791">
        <f>+'Statens skalatrin'!D85</f>
        <v>24293.83</v>
      </c>
      <c r="C22" s="791">
        <f>+'Statens skalatrin'!F85</f>
        <v>24710.83</v>
      </c>
      <c r="D22" s="791">
        <f>+'Statens skalatrin'!H85</f>
        <v>24999.75</v>
      </c>
      <c r="E22" s="791">
        <f>+'Statens skalatrin'!J85</f>
        <v>25416.83</v>
      </c>
      <c r="F22" s="791">
        <f>+'Statens skalatrin'!L85</f>
        <v>25705.67</v>
      </c>
      <c r="G22" s="792">
        <f>+'Statens skalatrin'!O85</f>
        <v>23408.12</v>
      </c>
      <c r="H22" s="792">
        <f t="shared" si="0"/>
        <v>1146.9978799999999</v>
      </c>
      <c r="I22" s="792">
        <f t="shared" si="1"/>
        <v>2293.9957599999998</v>
      </c>
      <c r="J22" s="792">
        <f t="shared" si="2"/>
        <v>3440.9936399999997</v>
      </c>
    </row>
    <row r="23" spans="1:10" ht="16" x14ac:dyDescent="0.2">
      <c r="A23" s="790">
        <v>28</v>
      </c>
      <c r="B23" s="791">
        <f>+'Statens skalatrin'!D88</f>
        <v>24695.83</v>
      </c>
      <c r="C23" s="791">
        <f>+'Statens skalatrin'!H88</f>
        <v>25371.75</v>
      </c>
      <c r="D23" s="791">
        <f>+'Statens skalatrin'!H88</f>
        <v>25371.75</v>
      </c>
      <c r="E23" s="791">
        <f>+'Statens skalatrin'!J88</f>
        <v>25771.08</v>
      </c>
      <c r="F23" s="791">
        <f>+'Statens skalatrin'!L88</f>
        <v>26047.67</v>
      </c>
      <c r="G23" s="792">
        <f>+'Statens skalatrin'!O88</f>
        <v>23847.88</v>
      </c>
      <c r="H23" s="792">
        <f t="shared" si="0"/>
        <v>1168.54612</v>
      </c>
      <c r="I23" s="792">
        <f t="shared" si="1"/>
        <v>2337.0922399999999</v>
      </c>
      <c r="J23" s="792">
        <f t="shared" si="2"/>
        <v>3505.6383599999999</v>
      </c>
    </row>
    <row r="24" spans="1:10" ht="16" x14ac:dyDescent="0.2">
      <c r="A24" s="790">
        <v>29</v>
      </c>
      <c r="B24" s="791">
        <f>+'Statens skalatrin'!D91</f>
        <v>25106.75</v>
      </c>
      <c r="C24" s="791">
        <f>+'Statens skalatrin'!F91</f>
        <v>25487.25</v>
      </c>
      <c r="D24" s="791">
        <f>+'Statens skalatrin'!H91</f>
        <v>25750.75</v>
      </c>
      <c r="E24" s="791">
        <f>+'Statens skalatrin'!J91</f>
        <v>26131.25</v>
      </c>
      <c r="F24" s="791">
        <f>+'Statens skalatrin'!L91</f>
        <v>26394.67</v>
      </c>
      <c r="G24" s="792">
        <f>+'Statens skalatrin'!O91</f>
        <v>24298.98</v>
      </c>
      <c r="H24" s="792">
        <f t="shared" si="0"/>
        <v>1190.6500199999998</v>
      </c>
      <c r="I24" s="792">
        <f t="shared" si="1"/>
        <v>2381.3000399999996</v>
      </c>
      <c r="J24" s="792">
        <f t="shared" si="2"/>
        <v>3571.9500599999997</v>
      </c>
    </row>
    <row r="25" spans="1:10" ht="16" x14ac:dyDescent="0.2">
      <c r="A25" s="790">
        <v>30</v>
      </c>
      <c r="B25" s="791">
        <f>+'Statens skalatrin'!D94</f>
        <v>25527.17</v>
      </c>
      <c r="C25" s="791">
        <f>+'Statens skalatrin'!F94</f>
        <v>25887.5</v>
      </c>
      <c r="D25" s="791">
        <f>+'Statens skalatrin'!H94</f>
        <v>26136.92</v>
      </c>
      <c r="E25" s="791">
        <f>+'Statens skalatrin'!J94</f>
        <v>26497.08</v>
      </c>
      <c r="F25" s="791">
        <f>+'Statens skalatrin'!L94</f>
        <v>26746.58</v>
      </c>
      <c r="G25" s="792">
        <f>+'Statens skalatrin'!O94</f>
        <v>24761.98</v>
      </c>
      <c r="H25" s="792">
        <f t="shared" si="0"/>
        <v>1213.3370199999999</v>
      </c>
      <c r="I25" s="792">
        <f t="shared" si="1"/>
        <v>2426.6740399999999</v>
      </c>
      <c r="J25" s="792">
        <f t="shared" si="2"/>
        <v>3640.0110599999998</v>
      </c>
    </row>
    <row r="26" spans="1:10" ht="16" x14ac:dyDescent="0.2">
      <c r="A26" s="790">
        <v>31</v>
      </c>
      <c r="B26" s="791">
        <f>+'Statens skalatrin'!D97</f>
        <v>25956.5</v>
      </c>
      <c r="C26" s="791">
        <f>+'Statens skalatrin'!F97</f>
        <v>26295.33</v>
      </c>
      <c r="D26" s="791">
        <f>+'Statens skalatrin'!H97</f>
        <v>26530.080000000002</v>
      </c>
      <c r="E26" s="791">
        <f>+'Statens skalatrin'!J97</f>
        <v>26869</v>
      </c>
      <c r="F26" s="791">
        <f>+'Statens skalatrin'!L97</f>
        <v>27103.58</v>
      </c>
      <c r="G26" s="792">
        <f>+'Statens skalatrin'!O97</f>
        <v>25236.98</v>
      </c>
      <c r="H26" s="792">
        <f t="shared" si="0"/>
        <v>1236.6120199999998</v>
      </c>
      <c r="I26" s="792">
        <f t="shared" si="1"/>
        <v>2473.2240399999996</v>
      </c>
      <c r="J26" s="792">
        <f t="shared" si="2"/>
        <v>3709.8360599999996</v>
      </c>
    </row>
    <row r="27" spans="1:10" ht="16" x14ac:dyDescent="0.2">
      <c r="A27" s="790">
        <v>32</v>
      </c>
      <c r="B27" s="791">
        <f>+'Statens skalatrin'!D100</f>
        <v>26395.75</v>
      </c>
      <c r="C27" s="791">
        <f>+'Statens skalatrin'!F100</f>
        <v>26711.83</v>
      </c>
      <c r="D27" s="791">
        <f>+'Statens skalatrin'!H100</f>
        <v>26930.67</v>
      </c>
      <c r="E27" s="791">
        <f>+'Statens skalatrin'!J100</f>
        <v>27246.83</v>
      </c>
      <c r="F27" s="791">
        <f>+'Statens skalatrin'!L100</f>
        <v>27465.58</v>
      </c>
      <c r="G27" s="792">
        <f>+'Statens skalatrin'!O100</f>
        <v>25724.55</v>
      </c>
      <c r="H27" s="792">
        <f t="shared" si="0"/>
        <v>1260.5029499999998</v>
      </c>
      <c r="I27" s="792">
        <f t="shared" si="1"/>
        <v>2521.0058999999997</v>
      </c>
      <c r="J27" s="792">
        <f t="shared" si="2"/>
        <v>3781.5088499999997</v>
      </c>
    </row>
    <row r="28" spans="1:10" ht="16" x14ac:dyDescent="0.2">
      <c r="A28" s="790">
        <v>33</v>
      </c>
      <c r="B28" s="791">
        <f>+'Statens skalatrin'!D103</f>
        <v>26844.33</v>
      </c>
      <c r="C28" s="791">
        <f>+'Statens skalatrin'!F103</f>
        <v>27136.17</v>
      </c>
      <c r="D28" s="791">
        <f>+'Statens skalatrin'!H103</f>
        <v>27338.42</v>
      </c>
      <c r="E28" s="791">
        <f>+'Statens skalatrin'!J103</f>
        <v>27630.33</v>
      </c>
      <c r="F28" s="791">
        <f>+'Statens skalatrin'!L103</f>
        <v>27832.42</v>
      </c>
      <c r="G28" s="792">
        <f>+'Statens skalatrin'!O103</f>
        <v>26224.62</v>
      </c>
      <c r="H28" s="792">
        <f t="shared" si="0"/>
        <v>1285.0063799999998</v>
      </c>
      <c r="I28" s="792">
        <f t="shared" si="1"/>
        <v>2570.0127599999996</v>
      </c>
      <c r="J28" s="792">
        <f t="shared" si="2"/>
        <v>3855.0191399999994</v>
      </c>
    </row>
    <row r="29" spans="1:10" ht="16" x14ac:dyDescent="0.2">
      <c r="A29" s="790">
        <v>34</v>
      </c>
      <c r="B29" s="791">
        <f>+'Statens skalatrin'!D106</f>
        <v>27303.25</v>
      </c>
      <c r="C29" s="791">
        <f>+'Statens skalatrin'!F106</f>
        <v>27569.5</v>
      </c>
      <c r="D29" s="791">
        <f>+'Statens skalatrin'!H106</f>
        <v>27753.83</v>
      </c>
      <c r="E29" s="791">
        <f>+'Statens skalatrin'!J106</f>
        <v>28019.919999999998</v>
      </c>
      <c r="F29" s="791">
        <f>+'Statens skalatrin'!L106</f>
        <v>28204.25</v>
      </c>
      <c r="G29" s="792">
        <f>+'Statens skalatrin'!O106</f>
        <v>26737.93</v>
      </c>
      <c r="H29" s="792">
        <f t="shared" si="0"/>
        <v>1310.1585699999998</v>
      </c>
      <c r="I29" s="792">
        <f t="shared" si="1"/>
        <v>2620.3171399999997</v>
      </c>
      <c r="J29" s="792">
        <f t="shared" si="2"/>
        <v>3930.4757099999997</v>
      </c>
    </row>
    <row r="30" spans="1:10" ht="16" x14ac:dyDescent="0.2">
      <c r="A30" s="790">
        <v>35</v>
      </c>
      <c r="B30" s="791">
        <f>+'Statens skalatrin'!D109</f>
        <v>27772.25</v>
      </c>
      <c r="C30" s="791">
        <f>+'Statens skalatrin'!F109</f>
        <v>28011.42</v>
      </c>
      <c r="D30" s="791">
        <f>+'Statens skalatrin'!H109</f>
        <v>28176.83</v>
      </c>
      <c r="E30" s="791">
        <f>+'Statens skalatrin'!J109</f>
        <v>28415.919999999998</v>
      </c>
      <c r="F30" s="791">
        <f>+'Statens skalatrin'!L109</f>
        <v>28581.33</v>
      </c>
      <c r="G30" s="792">
        <f>+'Statens skalatrin'!O109</f>
        <v>27264.7</v>
      </c>
      <c r="H30" s="792">
        <f t="shared" si="0"/>
        <v>1335.9703</v>
      </c>
      <c r="I30" s="792">
        <f t="shared" si="1"/>
        <v>2671.9405999999999</v>
      </c>
      <c r="J30" s="792">
        <f t="shared" si="2"/>
        <v>4007.9108999999999</v>
      </c>
    </row>
    <row r="31" spans="1:10" ht="16" x14ac:dyDescent="0.2">
      <c r="A31" s="790">
        <v>36</v>
      </c>
      <c r="B31" s="791">
        <f>'Statens skalatrin'!D112</f>
        <v>28251.5</v>
      </c>
      <c r="C31" s="791">
        <f>+'Statens skalatrin'!F112</f>
        <v>28461.75</v>
      </c>
      <c r="D31" s="791">
        <f>+'Statens skalatrin'!H112</f>
        <v>28607.33</v>
      </c>
      <c r="E31" s="791">
        <f>+'Statens skalatrin'!J112</f>
        <v>28817.67</v>
      </c>
      <c r="F31" s="791">
        <f>+'Statens skalatrin'!L112</f>
        <v>28963.17</v>
      </c>
      <c r="G31" s="792">
        <f>+'Statens skalatrin'!O112</f>
        <v>27805.05</v>
      </c>
      <c r="H31" s="792">
        <f t="shared" si="0"/>
        <v>1362.4474499999999</v>
      </c>
      <c r="I31" s="792">
        <f t="shared" si="1"/>
        <v>2724.8948999999998</v>
      </c>
      <c r="J31" s="792">
        <f t="shared" si="2"/>
        <v>4087.3423499999994</v>
      </c>
    </row>
    <row r="32" spans="1:10" ht="16" x14ac:dyDescent="0.2">
      <c r="A32" s="790">
        <v>37</v>
      </c>
      <c r="B32" s="791">
        <f>+'Statens skalatrin'!D115</f>
        <v>28741.33</v>
      </c>
      <c r="C32" s="791">
        <f>+'Statens skalatrin'!F115</f>
        <v>28921.17</v>
      </c>
      <c r="D32" s="791">
        <f>+'Statens skalatrin'!H115</f>
        <v>29045.58</v>
      </c>
      <c r="E32" s="791">
        <f>+'Statens skalatrin'!J115</f>
        <v>29225.42</v>
      </c>
      <c r="F32" s="791">
        <f>+'Statens skalatrin'!L115</f>
        <v>29350</v>
      </c>
      <c r="G32" s="792">
        <f>+'Statens skalatrin'!O115</f>
        <v>28359.51</v>
      </c>
      <c r="H32" s="792">
        <f t="shared" si="0"/>
        <v>1389.61599</v>
      </c>
      <c r="I32" s="792">
        <f t="shared" si="1"/>
        <v>2779.23198</v>
      </c>
      <c r="J32" s="792">
        <f t="shared" si="2"/>
        <v>4168.8479699999998</v>
      </c>
    </row>
    <row r="33" spans="1:10" ht="17" thickBot="1" x14ac:dyDescent="0.25">
      <c r="A33" s="793">
        <v>38</v>
      </c>
      <c r="B33" s="794">
        <f>+'Statens skalatrin'!D118</f>
        <v>29258.67</v>
      </c>
      <c r="C33" s="794">
        <f>+'Statens skalatrin'!F118</f>
        <v>29409.17</v>
      </c>
      <c r="D33" s="794">
        <f>+'Statens skalatrin'!H118</f>
        <v>29513.33</v>
      </c>
      <c r="E33" s="794">
        <f>+'Statens skalatrin'!J118</f>
        <v>29663.75</v>
      </c>
      <c r="F33" s="794">
        <f>+'Statens skalatrin'!L118</f>
        <v>29768.080000000002</v>
      </c>
      <c r="G33" s="795">
        <f>+'Statens skalatrin'!O118</f>
        <v>28939.07</v>
      </c>
      <c r="H33" s="795">
        <f t="shared" si="0"/>
        <v>1418.0144299999999</v>
      </c>
      <c r="I33" s="795">
        <f t="shared" si="1"/>
        <v>2836.0288599999999</v>
      </c>
      <c r="J33" s="792">
        <f t="shared" si="2"/>
        <v>4254.0432899999996</v>
      </c>
    </row>
    <row r="34" spans="1:10" ht="26" customHeight="1" thickBot="1" x14ac:dyDescent="0.2">
      <c r="A34" s="1262" t="s">
        <v>252</v>
      </c>
      <c r="B34" s="1263"/>
      <c r="C34" s="1263"/>
      <c r="D34" s="1263"/>
      <c r="E34" s="1263"/>
      <c r="F34" s="1264"/>
      <c r="G34" s="1287" t="s">
        <v>204</v>
      </c>
      <c r="H34" s="1288"/>
      <c r="I34" s="1288"/>
      <c r="J34" s="1289"/>
    </row>
    <row r="35" spans="1:10" ht="26" customHeight="1" thickBot="1" x14ac:dyDescent="0.2">
      <c r="A35" s="1268" t="s">
        <v>391</v>
      </c>
      <c r="B35" s="1269"/>
      <c r="C35" s="1269"/>
      <c r="D35" s="1269"/>
      <c r="E35" s="1269"/>
      <c r="F35" s="1269"/>
      <c r="G35" s="1269"/>
      <c r="H35" s="1269"/>
      <c r="I35" s="1269"/>
      <c r="J35" s="1270"/>
    </row>
    <row r="36" spans="1:10" ht="29" customHeight="1" thickBot="1" x14ac:dyDescent="0.2">
      <c r="A36" s="716" t="s">
        <v>59</v>
      </c>
      <c r="B36" s="716" t="s">
        <v>78</v>
      </c>
      <c r="C36" s="716" t="s">
        <v>79</v>
      </c>
      <c r="D36" s="716" t="s">
        <v>80</v>
      </c>
      <c r="E36" s="716" t="s">
        <v>81</v>
      </c>
      <c r="F36" s="716" t="s">
        <v>82</v>
      </c>
      <c r="G36" s="716" t="s">
        <v>265</v>
      </c>
      <c r="H36" s="716" t="s">
        <v>338</v>
      </c>
      <c r="I36" s="716" t="s">
        <v>339</v>
      </c>
      <c r="J36" s="717">
        <v>0.16200000000000001</v>
      </c>
    </row>
    <row r="37" spans="1:10" ht="16" x14ac:dyDescent="0.2">
      <c r="A37" s="796">
        <v>40</v>
      </c>
      <c r="B37" s="797">
        <f>'Statens skalatrin'!D124</f>
        <v>30314.83</v>
      </c>
      <c r="C37" s="797">
        <f>+'Statens skalatrin'!F124</f>
        <v>30394.080000000002</v>
      </c>
      <c r="D37" s="797">
        <f>+'Statens skalatrin'!H124</f>
        <v>30449</v>
      </c>
      <c r="E37" s="797">
        <f>+'Statens skalatrin'!J124</f>
        <v>30528.17</v>
      </c>
      <c r="F37" s="797">
        <f>+'Statens skalatrin'!L124</f>
        <v>30583.08</v>
      </c>
      <c r="G37" s="797">
        <f>+'Statens skalatrin'!O124</f>
        <v>30146.45</v>
      </c>
      <c r="H37" s="797">
        <f t="shared" ref="H37:H40" si="3">J37/3*1</f>
        <v>1627.9083000000001</v>
      </c>
      <c r="I37" s="797">
        <f t="shared" ref="I37:I40" si="4">J37/3*2</f>
        <v>3255.8166000000001</v>
      </c>
      <c r="J37" s="798">
        <f>G37*J36</f>
        <v>4883.7249000000002</v>
      </c>
    </row>
    <row r="38" spans="1:10" ht="16" x14ac:dyDescent="0.2">
      <c r="A38" s="790">
        <v>42</v>
      </c>
      <c r="B38" s="791">
        <f>'Statens skalatrin'!D130</f>
        <v>31417.58</v>
      </c>
      <c r="C38" s="791">
        <f>+'Statens skalatrin'!F130</f>
        <v>31417.58</v>
      </c>
      <c r="D38" s="791">
        <f>+'Statens skalatrin'!H130</f>
        <v>31417.58</v>
      </c>
      <c r="E38" s="791">
        <f>+'Statens skalatrin'!J130</f>
        <v>31417.58</v>
      </c>
      <c r="F38" s="791">
        <f>+'Statens skalatrin'!L130</f>
        <v>31417.58</v>
      </c>
      <c r="G38" s="791">
        <f>+'Statens skalatrin'!O130</f>
        <v>31417.52</v>
      </c>
      <c r="H38" s="792">
        <f t="shared" si="3"/>
        <v>1696.5460800000001</v>
      </c>
      <c r="I38" s="792">
        <f t="shared" si="4"/>
        <v>3393.0921600000001</v>
      </c>
      <c r="J38" s="798">
        <f>G38*J36</f>
        <v>5089.6382400000002</v>
      </c>
    </row>
    <row r="39" spans="1:10" ht="16" x14ac:dyDescent="0.2">
      <c r="A39" s="790">
        <v>44</v>
      </c>
      <c r="B39" s="791">
        <f>'Statens skalatrin'!D136</f>
        <v>32831.58</v>
      </c>
      <c r="C39" s="791">
        <f>+'Statens skalatrin'!F136</f>
        <v>32831.58</v>
      </c>
      <c r="D39" s="791">
        <f>+'Statens skalatrin'!H136</f>
        <v>32831.58</v>
      </c>
      <c r="E39" s="791">
        <f>+'Statens skalatrin'!J136</f>
        <v>32831.58</v>
      </c>
      <c r="F39" s="791">
        <f>+'Statens skalatrin'!L136</f>
        <v>32831.58</v>
      </c>
      <c r="G39" s="791">
        <f>+'Statens skalatrin'!O136</f>
        <v>32831.599999999999</v>
      </c>
      <c r="H39" s="792">
        <f t="shared" si="3"/>
        <v>1772.9063999999998</v>
      </c>
      <c r="I39" s="792">
        <f t="shared" si="4"/>
        <v>3545.8127999999997</v>
      </c>
      <c r="J39" s="798">
        <f>G39*J36</f>
        <v>5318.7191999999995</v>
      </c>
    </row>
    <row r="40" spans="1:10" ht="17" thickBot="1" x14ac:dyDescent="0.25">
      <c r="A40" s="799">
        <v>48</v>
      </c>
      <c r="B40" s="794">
        <f>'Statens skalatrin'!D148</f>
        <v>38312.25</v>
      </c>
      <c r="C40" s="794">
        <f>+'Statens skalatrin'!F148</f>
        <v>38312.25</v>
      </c>
      <c r="D40" s="794">
        <f>+'Statens skalatrin'!H148</f>
        <v>38312.25</v>
      </c>
      <c r="E40" s="794">
        <f>+'Statens skalatrin'!J148</f>
        <v>38312.25</v>
      </c>
      <c r="F40" s="794">
        <f>+'Statens skalatrin'!L148</f>
        <v>38312.25</v>
      </c>
      <c r="G40" s="794">
        <f>+'Statens skalatrin'!O148</f>
        <v>38312.129999999997</v>
      </c>
      <c r="H40" s="795">
        <f t="shared" si="3"/>
        <v>2068.85502</v>
      </c>
      <c r="I40" s="795">
        <f t="shared" si="4"/>
        <v>4137.7100399999999</v>
      </c>
      <c r="J40" s="800">
        <f>G40*J36</f>
        <v>6206.5650599999999</v>
      </c>
    </row>
    <row r="41" spans="1:10" x14ac:dyDescent="0.15">
      <c r="A41" s="1261"/>
      <c r="B41" s="1261"/>
      <c r="C41" s="1261"/>
      <c r="D41" s="1261"/>
      <c r="E41" s="1261"/>
      <c r="F41" s="1261"/>
      <c r="G41" s="1261"/>
      <c r="H41" s="1261"/>
      <c r="I41" s="1261"/>
      <c r="J41" s="1261"/>
    </row>
    <row r="42" spans="1:10" ht="15" thickBot="1" x14ac:dyDescent="0.2"/>
    <row r="43" spans="1:10" ht="26" customHeight="1" x14ac:dyDescent="0.15">
      <c r="A43" s="1271" t="s">
        <v>393</v>
      </c>
      <c r="B43" s="1272"/>
      <c r="C43" s="1272"/>
      <c r="D43" s="1272"/>
      <c r="E43" s="1272"/>
      <c r="F43" s="1272"/>
      <c r="G43" s="1272"/>
      <c r="H43" s="1272"/>
      <c r="I43" s="1273"/>
    </row>
    <row r="44" spans="1:10" ht="26" customHeight="1" thickBot="1" x14ac:dyDescent="0.2">
      <c r="A44" s="1019" t="s">
        <v>392</v>
      </c>
      <c r="B44" s="1020"/>
      <c r="C44" s="1020"/>
      <c r="D44" s="1020"/>
      <c r="E44" s="1020"/>
      <c r="F44" s="1020"/>
      <c r="G44" s="1020"/>
      <c r="H44" s="1020"/>
      <c r="I44" s="1021"/>
    </row>
    <row r="45" spans="1:10" ht="15.75" customHeight="1" x14ac:dyDescent="0.2">
      <c r="A45" s="1284" t="s">
        <v>254</v>
      </c>
      <c r="B45" s="1285"/>
      <c r="C45" s="1286"/>
      <c r="D45" s="1274" t="s">
        <v>141</v>
      </c>
      <c r="E45" s="1275"/>
      <c r="F45" s="1274" t="s">
        <v>435</v>
      </c>
      <c r="G45" s="1275"/>
      <c r="H45" s="1274" t="s">
        <v>321</v>
      </c>
      <c r="I45" s="1275"/>
    </row>
    <row r="46" spans="1:10" ht="15" customHeight="1" thickBot="1" x14ac:dyDescent="0.25">
      <c r="A46" s="1278" t="s">
        <v>440</v>
      </c>
      <c r="B46" s="1279"/>
      <c r="C46" s="1280"/>
      <c r="D46" s="1276">
        <v>40999</v>
      </c>
      <c r="E46" s="1277"/>
      <c r="F46" s="1276" t="str">
        <f>'Løntabel gældende fra'!D1</f>
        <v>01/04/17</v>
      </c>
      <c r="G46" s="1277"/>
      <c r="H46" s="1276" t="str">
        <f>'Løntabel gældende fra'!$D$1</f>
        <v>01/04/17</v>
      </c>
      <c r="I46" s="1277"/>
    </row>
    <row r="47" spans="1:10" ht="31.5" customHeight="1" thickBot="1" x14ac:dyDescent="0.2">
      <c r="A47" s="1281"/>
      <c r="B47" s="1282"/>
      <c r="C47" s="1283"/>
      <c r="D47" s="1229">
        <v>4000</v>
      </c>
      <c r="E47" s="1230"/>
      <c r="F47" s="1231">
        <f>+D47*(1+'Løntabel gældende fra'!$D$7/100)</f>
        <v>4169.7839999999997</v>
      </c>
      <c r="G47" s="1232">
        <f>+E47*(1+'Løntabel gældende fra'!$D$7/100)</f>
        <v>0</v>
      </c>
      <c r="H47" s="1229">
        <f>F47/12</f>
        <v>347.48199999999997</v>
      </c>
      <c r="I47" s="1230"/>
    </row>
    <row r="48" spans="1:10" ht="15" thickBot="1" x14ac:dyDescent="0.2">
      <c r="A48" s="276"/>
      <c r="B48" s="277"/>
      <c r="C48" s="277"/>
      <c r="D48" s="277"/>
      <c r="E48" s="277"/>
      <c r="F48" s="277"/>
    </row>
    <row r="49" spans="1:9" ht="20" customHeight="1" x14ac:dyDescent="0.15">
      <c r="A49" s="1248" t="s">
        <v>253</v>
      </c>
      <c r="B49" s="1247"/>
      <c r="C49" s="1247"/>
      <c r="D49" s="1247"/>
      <c r="E49" s="1247"/>
      <c r="F49" s="1247"/>
      <c r="G49" s="1247"/>
      <c r="H49" s="1247"/>
      <c r="I49" s="1249"/>
    </row>
    <row r="50" spans="1:9" ht="20" customHeight="1" thickBot="1" x14ac:dyDescent="0.2">
      <c r="A50" s="1102" t="s">
        <v>451</v>
      </c>
      <c r="B50" s="1103"/>
      <c r="C50" s="1103"/>
      <c r="D50" s="1103"/>
      <c r="E50" s="1103"/>
      <c r="F50" s="1103"/>
      <c r="G50" s="1103"/>
      <c r="H50" s="1103"/>
      <c r="I50" s="1104"/>
    </row>
    <row r="51" spans="1:9" ht="31" customHeight="1" x14ac:dyDescent="0.15">
      <c r="A51" s="1323" t="s">
        <v>401</v>
      </c>
      <c r="B51" s="1324"/>
      <c r="C51" s="1324"/>
      <c r="D51" s="1324"/>
      <c r="E51" s="1324"/>
      <c r="F51" s="801"/>
      <c r="G51" s="801"/>
      <c r="H51" s="399" t="s">
        <v>105</v>
      </c>
      <c r="I51" s="850" t="s">
        <v>321</v>
      </c>
    </row>
    <row r="52" spans="1:9" ht="21" customHeight="1" thickBot="1" x14ac:dyDescent="0.25">
      <c r="A52" s="1308"/>
      <c r="B52" s="1309"/>
      <c r="C52" s="1309"/>
      <c r="D52" s="1309"/>
      <c r="E52" s="1309"/>
      <c r="F52" s="802"/>
      <c r="G52" s="802"/>
      <c r="H52" s="771">
        <v>40999</v>
      </c>
      <c r="I52" s="803" t="str">
        <f>'Løntabel gældende fra'!$D$1</f>
        <v>01/04/17</v>
      </c>
    </row>
    <row r="53" spans="1:9" ht="20" customHeight="1" x14ac:dyDescent="0.2">
      <c r="A53" s="1314" t="s">
        <v>399</v>
      </c>
      <c r="B53" s="1315"/>
      <c r="C53" s="1315"/>
      <c r="D53" s="1315"/>
      <c r="E53" s="1315"/>
      <c r="F53" s="1315"/>
      <c r="G53" s="1316"/>
      <c r="H53" s="736">
        <v>540</v>
      </c>
      <c r="I53" s="804">
        <f>H53+H53*'Løntabel gældende fra'!$D$7%</f>
        <v>562.92084</v>
      </c>
    </row>
    <row r="54" spans="1:9" ht="20" customHeight="1" thickBot="1" x14ac:dyDescent="0.25">
      <c r="A54" s="1317" t="s">
        <v>400</v>
      </c>
      <c r="B54" s="1318"/>
      <c r="C54" s="1318"/>
      <c r="D54" s="1318"/>
      <c r="E54" s="1318"/>
      <c r="F54" s="1318"/>
      <c r="G54" s="1319"/>
      <c r="H54" s="744">
        <v>666.67</v>
      </c>
      <c r="I54" s="805">
        <f>H54+H54*'Løntabel gældende fra'!$D$7%</f>
        <v>694.96747482000001</v>
      </c>
    </row>
    <row r="55" spans="1:9" s="666" customFormat="1" ht="27" customHeight="1" thickBot="1" x14ac:dyDescent="0.2">
      <c r="A55" s="307"/>
      <c r="B55" s="307"/>
      <c r="C55" s="307"/>
      <c r="D55" s="307"/>
      <c r="E55" s="307"/>
      <c r="F55" s="294"/>
      <c r="G55" s="294"/>
      <c r="H55" s="264"/>
      <c r="I55" s="304"/>
    </row>
    <row r="56" spans="1:9" ht="20" customHeight="1" x14ac:dyDescent="0.15">
      <c r="A56" s="1248" t="s">
        <v>384</v>
      </c>
      <c r="B56" s="1247"/>
      <c r="C56" s="1247"/>
      <c r="D56" s="1247"/>
      <c r="E56" s="1247"/>
      <c r="F56" s="1247"/>
      <c r="G56" s="1247"/>
      <c r="H56" s="1247"/>
      <c r="I56" s="1249"/>
    </row>
    <row r="57" spans="1:9" ht="20" customHeight="1" thickBot="1" x14ac:dyDescent="0.2">
      <c r="A57" s="1320" t="s">
        <v>381</v>
      </c>
      <c r="B57" s="1321"/>
      <c r="C57" s="1321"/>
      <c r="D57" s="1321"/>
      <c r="E57" s="1321"/>
      <c r="F57" s="1321"/>
      <c r="G57" s="1321"/>
      <c r="H57" s="1321"/>
      <c r="I57" s="1322"/>
    </row>
    <row r="58" spans="1:9" ht="15" customHeight="1" thickBot="1" x14ac:dyDescent="0.25">
      <c r="A58" s="1297"/>
      <c r="B58" s="1298"/>
      <c r="C58" s="1298"/>
      <c r="D58" s="1298"/>
      <c r="E58" s="1298"/>
      <c r="F58" s="1298"/>
      <c r="G58" s="1298"/>
      <c r="H58" s="843" t="s">
        <v>102</v>
      </c>
      <c r="I58" s="844" t="s">
        <v>107</v>
      </c>
    </row>
    <row r="59" spans="1:9" ht="17" thickBot="1" x14ac:dyDescent="0.25">
      <c r="A59" s="1299"/>
      <c r="B59" s="1300"/>
      <c r="C59" s="1300"/>
      <c r="D59" s="1300"/>
      <c r="E59" s="1300"/>
      <c r="F59" s="1300"/>
      <c r="G59" s="1301"/>
      <c r="H59" s="845">
        <v>40999</v>
      </c>
      <c r="I59" s="846" t="str">
        <f>'Løntabel gældende fra'!$D$1</f>
        <v>01/04/17</v>
      </c>
    </row>
    <row r="60" spans="1:9" ht="16" customHeight="1" x14ac:dyDescent="0.2">
      <c r="A60" s="1302" t="s">
        <v>442</v>
      </c>
      <c r="B60" s="1303"/>
      <c r="C60" s="1303"/>
      <c r="D60" s="1303"/>
      <c r="E60" s="1303"/>
      <c r="F60" s="859"/>
      <c r="G60" s="1306" t="s">
        <v>184</v>
      </c>
      <c r="H60" s="1310">
        <v>39.92</v>
      </c>
      <c r="I60" s="1312">
        <f>H60+H60*'Løntabel gældende fra'!$D$7%</f>
        <v>41.614444320000004</v>
      </c>
    </row>
    <row r="61" spans="1:9" ht="16" customHeight="1" x14ac:dyDescent="0.2">
      <c r="A61" s="1308" t="s">
        <v>443</v>
      </c>
      <c r="B61" s="1309"/>
      <c r="C61" s="1309"/>
      <c r="D61" s="1309"/>
      <c r="E61" s="1309"/>
      <c r="F61" s="1309"/>
      <c r="G61" s="1307"/>
      <c r="H61" s="1311"/>
      <c r="I61" s="1313"/>
    </row>
    <row r="62" spans="1:9" s="275" customFormat="1" ht="16" x14ac:dyDescent="0.2">
      <c r="A62" s="1304" t="s">
        <v>271</v>
      </c>
      <c r="B62" s="1305"/>
      <c r="C62" s="1305"/>
      <c r="D62" s="1305"/>
      <c r="E62" s="1305"/>
      <c r="F62" s="1305"/>
      <c r="G62" s="806" t="s">
        <v>184</v>
      </c>
      <c r="H62" s="761">
        <v>39.92</v>
      </c>
      <c r="I62" s="807">
        <f>H62+H62*'Løntabel gældende fra'!$D$7%</f>
        <v>41.614444320000004</v>
      </c>
    </row>
    <row r="63" spans="1:9" s="275" customFormat="1" ht="16" x14ac:dyDescent="0.2">
      <c r="A63" s="1304" t="s">
        <v>247</v>
      </c>
      <c r="B63" s="1305"/>
      <c r="C63" s="1305"/>
      <c r="D63" s="1305"/>
      <c r="E63" s="1305"/>
      <c r="F63" s="808"/>
      <c r="G63" s="806" t="s">
        <v>184</v>
      </c>
      <c r="H63" s="761">
        <v>22.32</v>
      </c>
      <c r="I63" s="807">
        <f>H63+H63*'Løntabel gældende fra'!$D$7%</f>
        <v>23.267394719999999</v>
      </c>
    </row>
    <row r="64" spans="1:9" ht="16" x14ac:dyDescent="0.2">
      <c r="A64" s="809" t="s">
        <v>183</v>
      </c>
      <c r="B64" s="810"/>
      <c r="C64" s="810"/>
      <c r="D64" s="810"/>
      <c r="E64" s="810"/>
      <c r="F64" s="810"/>
      <c r="G64" s="811" t="s">
        <v>184</v>
      </c>
      <c r="H64" s="761">
        <v>39.92</v>
      </c>
      <c r="I64" s="807">
        <f>H64+H64*'Løntabel gældende fra'!$D$7%</f>
        <v>41.614444320000004</v>
      </c>
    </row>
    <row r="65" spans="1:9" ht="16" x14ac:dyDescent="0.2">
      <c r="A65" s="809" t="s">
        <v>178</v>
      </c>
      <c r="B65" s="810"/>
      <c r="C65" s="810"/>
      <c r="D65" s="810"/>
      <c r="E65" s="810"/>
      <c r="F65" s="810"/>
      <c r="G65" s="811" t="s">
        <v>185</v>
      </c>
      <c r="H65" s="761">
        <v>39.92</v>
      </c>
      <c r="I65" s="807">
        <f>H65+H65*'Løntabel gældende fra'!$D$7%</f>
        <v>41.614444320000004</v>
      </c>
    </row>
    <row r="66" spans="1:9" ht="16" x14ac:dyDescent="0.2">
      <c r="A66" s="1293" t="s">
        <v>179</v>
      </c>
      <c r="B66" s="1294"/>
      <c r="C66" s="1294"/>
      <c r="D66" s="1294"/>
      <c r="E66" s="1294"/>
      <c r="F66" s="1294"/>
      <c r="G66" s="811" t="s">
        <v>185</v>
      </c>
      <c r="H66" s="761">
        <v>91.84</v>
      </c>
      <c r="I66" s="807">
        <f>H66+H66*'Løntabel gældende fra'!$D$7%</f>
        <v>95.738240640000001</v>
      </c>
    </row>
    <row r="67" spans="1:9" ht="17" thickBot="1" x14ac:dyDescent="0.25">
      <c r="A67" s="1295" t="s">
        <v>180</v>
      </c>
      <c r="B67" s="1296"/>
      <c r="C67" s="1296"/>
      <c r="D67" s="1296"/>
      <c r="E67" s="1296"/>
      <c r="F67" s="1296"/>
      <c r="G67" s="812" t="s">
        <v>184</v>
      </c>
      <c r="H67" s="744">
        <v>27.81</v>
      </c>
      <c r="I67" s="805">
        <f>H67+H67*'Løntabel gældende fra'!$D$7%</f>
        <v>28.99042326</v>
      </c>
    </row>
    <row r="68" spans="1:9" ht="27" customHeight="1" thickBot="1" x14ac:dyDescent="0.2">
      <c r="A68" s="647"/>
      <c r="B68" s="307"/>
      <c r="C68" s="307"/>
      <c r="D68" s="648"/>
      <c r="E68" s="648"/>
      <c r="F68" s="649"/>
      <c r="G68" s="649"/>
      <c r="H68" s="264"/>
      <c r="I68" s="304"/>
    </row>
    <row r="69" spans="1:9" ht="17" thickBot="1" x14ac:dyDescent="0.2">
      <c r="A69" s="1271" t="s">
        <v>170</v>
      </c>
      <c r="B69" s="1272"/>
      <c r="C69" s="1272"/>
      <c r="D69" s="1227"/>
      <c r="E69" s="1227"/>
      <c r="F69" s="1227"/>
      <c r="G69" s="1228"/>
    </row>
    <row r="70" spans="1:9" ht="13" customHeight="1" x14ac:dyDescent="0.15">
      <c r="A70" s="1255" t="s">
        <v>181</v>
      </c>
      <c r="B70" s="1256"/>
      <c r="C70" s="1257"/>
      <c r="D70" s="1247" t="s">
        <v>436</v>
      </c>
      <c r="E70" s="1247"/>
      <c r="F70" s="1248" t="s">
        <v>437</v>
      </c>
      <c r="G70" s="1249"/>
    </row>
    <row r="71" spans="1:9" ht="15" customHeight="1" thickBot="1" x14ac:dyDescent="0.2">
      <c r="A71" s="1258"/>
      <c r="B71" s="1259"/>
      <c r="C71" s="1260"/>
      <c r="D71" s="1250">
        <v>40999</v>
      </c>
      <c r="E71" s="1251"/>
      <c r="F71" s="1252" t="str">
        <f>'Løntabel gældende fra'!$D$1</f>
        <v>01/04/17</v>
      </c>
      <c r="G71" s="1253"/>
    </row>
    <row r="72" spans="1:9" ht="16" x14ac:dyDescent="0.2">
      <c r="A72" s="1244" t="s">
        <v>171</v>
      </c>
      <c r="B72" s="1245"/>
      <c r="C72" s="1246"/>
      <c r="D72" s="1236">
        <v>137</v>
      </c>
      <c r="E72" s="1237"/>
      <c r="F72" s="1238">
        <f>+D72*(1+'Løntabel gældende fra'!$D$7/100)</f>
        <v>142.815102</v>
      </c>
      <c r="G72" s="1239">
        <f>+E72*(1+'Løntabel gældende fra'!$D$7/100)</f>
        <v>0</v>
      </c>
    </row>
    <row r="73" spans="1:9" ht="17" thickBot="1" x14ac:dyDescent="0.25">
      <c r="A73" s="1233" t="s">
        <v>172</v>
      </c>
      <c r="B73" s="1234"/>
      <c r="C73" s="1235"/>
      <c r="D73" s="1240">
        <v>183</v>
      </c>
      <c r="E73" s="1241"/>
      <c r="F73" s="1242">
        <f>+D73*(1+'Løntabel gældende fra'!$D$7/100)</f>
        <v>190.767618</v>
      </c>
      <c r="G73" s="1243">
        <f>+E73*(1+'Løntabel gældende fra'!$D$7/100)</f>
        <v>0</v>
      </c>
    </row>
    <row r="74" spans="1:9" ht="15" thickBot="1" x14ac:dyDescent="0.2">
      <c r="A74" s="45"/>
      <c r="B74" s="45"/>
      <c r="C74" s="45"/>
      <c r="D74" s="264"/>
      <c r="E74" s="264"/>
      <c r="F74" s="264"/>
      <c r="G74" s="264"/>
    </row>
    <row r="75" spans="1:9" ht="19" customHeight="1" thickBot="1" x14ac:dyDescent="0.25">
      <c r="A75" s="1254" t="s">
        <v>414</v>
      </c>
      <c r="B75" s="955"/>
      <c r="C75" s="955"/>
      <c r="D75" s="955"/>
      <c r="E75" s="955"/>
      <c r="F75" s="956"/>
    </row>
    <row r="76" spans="1:9" ht="17" thickBot="1" x14ac:dyDescent="0.2">
      <c r="A76" s="813" t="s">
        <v>173</v>
      </c>
      <c r="B76" s="814" t="s">
        <v>78</v>
      </c>
      <c r="C76" s="814" t="s">
        <v>79</v>
      </c>
      <c r="D76" s="814" t="s">
        <v>80</v>
      </c>
      <c r="E76" s="814" t="s">
        <v>81</v>
      </c>
      <c r="F76" s="815" t="s">
        <v>82</v>
      </c>
    </row>
    <row r="77" spans="1:9" ht="16" x14ac:dyDescent="0.2">
      <c r="A77" s="796" t="s">
        <v>174</v>
      </c>
      <c r="B77" s="816">
        <f>0.66*B9/160.33</f>
        <v>81.394387825110698</v>
      </c>
      <c r="C77" s="817">
        <f>0.66*C9/160.33</f>
        <v>83.089360693569503</v>
      </c>
      <c r="D77" s="817">
        <f>0.66*D9/160.33</f>
        <v>84.262895278488116</v>
      </c>
      <c r="E77" s="817">
        <f>0.66*E9/160.33</f>
        <v>85.957538826171003</v>
      </c>
      <c r="F77" s="818">
        <f>0.66*F9/160.33</f>
        <v>87.130744090313712</v>
      </c>
    </row>
    <row r="78" spans="1:9" ht="17" thickBot="1" x14ac:dyDescent="0.25">
      <c r="A78" s="799" t="s">
        <v>175</v>
      </c>
      <c r="B78" s="819">
        <f>0.74*B9/160.33</f>
        <v>91.260374228154419</v>
      </c>
      <c r="C78" s="820">
        <f>0.74*C9/160.33</f>
        <v>93.160798353396103</v>
      </c>
      <c r="D78" s="820">
        <f>0.74*D9/160.33</f>
        <v>94.47657955466849</v>
      </c>
      <c r="E78" s="820">
        <f>0.74*E9/160.33</f>
        <v>96.376634441464461</v>
      </c>
      <c r="F78" s="821">
        <f>0.74*F9/160.33</f>
        <v>97.692046404291133</v>
      </c>
    </row>
    <row r="79" spans="1:9" ht="15" thickBot="1" x14ac:dyDescent="0.2">
      <c r="A79" s="276"/>
      <c r="B79" s="277"/>
      <c r="C79" s="277"/>
      <c r="D79" s="277"/>
      <c r="E79" s="277"/>
      <c r="F79" s="277"/>
    </row>
    <row r="80" spans="1:9" ht="18.75" customHeight="1" thickBot="1" x14ac:dyDescent="0.2">
      <c r="A80" s="1226" t="s">
        <v>176</v>
      </c>
      <c r="B80" s="1227"/>
      <c r="C80" s="1227"/>
      <c r="D80" s="1227"/>
      <c r="E80" s="1227"/>
      <c r="F80" s="1227"/>
      <c r="G80" s="1228"/>
    </row>
    <row r="81" spans="1:9" ht="16" x14ac:dyDescent="0.15">
      <c r="A81" s="1255" t="s">
        <v>177</v>
      </c>
      <c r="B81" s="1256"/>
      <c r="C81" s="1257"/>
      <c r="D81" s="1248" t="s">
        <v>105</v>
      </c>
      <c r="E81" s="1249"/>
      <c r="F81" s="1248" t="s">
        <v>321</v>
      </c>
      <c r="G81" s="1249"/>
    </row>
    <row r="82" spans="1:9" ht="17" thickBot="1" x14ac:dyDescent="0.2">
      <c r="A82" s="1258"/>
      <c r="B82" s="1259"/>
      <c r="C82" s="1260"/>
      <c r="D82" s="1252">
        <v>40999</v>
      </c>
      <c r="E82" s="1253"/>
      <c r="F82" s="1252" t="str">
        <f>'Løntabel gældende fra'!$D$1</f>
        <v>01/04/17</v>
      </c>
      <c r="G82" s="1253"/>
    </row>
    <row r="83" spans="1:9" ht="16" x14ac:dyDescent="0.2">
      <c r="A83" s="1244" t="s">
        <v>351</v>
      </c>
      <c r="B83" s="1245"/>
      <c r="C83" s="1246"/>
      <c r="D83" s="1236">
        <v>10189</v>
      </c>
      <c r="E83" s="1237"/>
      <c r="F83" s="1238">
        <f>+D83*(1+'Løntabel gældende fra'!$D$7/100)</f>
        <v>10621.482293999999</v>
      </c>
      <c r="G83" s="1239">
        <f>+E83*(1+'Løntabel gældende fra'!$D$7/100)</f>
        <v>0</v>
      </c>
    </row>
    <row r="84" spans="1:9" ht="17" thickBot="1" x14ac:dyDescent="0.25">
      <c r="A84" s="1233" t="s">
        <v>352</v>
      </c>
      <c r="B84" s="1234"/>
      <c r="C84" s="1235"/>
      <c r="D84" s="1240">
        <v>10519</v>
      </c>
      <c r="E84" s="1241"/>
      <c r="F84" s="1242">
        <f>+D84*(1+'Løntabel gældende fra'!$D$7/100)</f>
        <v>10965.489474</v>
      </c>
      <c r="G84" s="1243">
        <f>+E84*(1+'Løntabel gældende fra'!$D$7/100)</f>
        <v>0</v>
      </c>
    </row>
    <row r="85" spans="1:9" ht="16" x14ac:dyDescent="0.2">
      <c r="A85" s="822"/>
      <c r="B85" s="823"/>
      <c r="C85" s="823"/>
      <c r="D85" s="823"/>
      <c r="E85" s="823"/>
      <c r="F85" s="823"/>
      <c r="G85" s="824"/>
    </row>
    <row r="86" spans="1:9" x14ac:dyDescent="0.15">
      <c r="F86" s="274"/>
      <c r="H86" s="274"/>
    </row>
    <row r="87" spans="1:9" x14ac:dyDescent="0.15">
      <c r="A87" s="283"/>
      <c r="B87" s="283"/>
      <c r="C87" s="283"/>
    </row>
    <row r="88" spans="1:9" x14ac:dyDescent="0.15">
      <c r="A88" s="275"/>
      <c r="B88" s="275"/>
      <c r="C88" s="275"/>
      <c r="D88" s="275"/>
      <c r="E88" s="275"/>
      <c r="F88" s="275"/>
      <c r="G88" s="275"/>
      <c r="H88" s="275"/>
      <c r="I88" s="275"/>
    </row>
  </sheetData>
  <sheetProtection sheet="1" objects="1" scenarios="1"/>
  <mergeCells count="66">
    <mergeCell ref="A49:I49"/>
    <mergeCell ref="A50:I50"/>
    <mergeCell ref="A53:G53"/>
    <mergeCell ref="A54:G54"/>
    <mergeCell ref="A57:I57"/>
    <mergeCell ref="A51:E52"/>
    <mergeCell ref="A69:G69"/>
    <mergeCell ref="A66:F66"/>
    <mergeCell ref="A67:F67"/>
    <mergeCell ref="A56:I56"/>
    <mergeCell ref="A58:G59"/>
    <mergeCell ref="A60:E60"/>
    <mergeCell ref="A62:F62"/>
    <mergeCell ref="A63:E63"/>
    <mergeCell ref="G60:G61"/>
    <mergeCell ref="A61:F61"/>
    <mergeCell ref="H60:H61"/>
    <mergeCell ref="I60:I61"/>
    <mergeCell ref="A1:J1"/>
    <mergeCell ref="A2:J2"/>
    <mergeCell ref="A3:J3"/>
    <mergeCell ref="A34:F34"/>
    <mergeCell ref="G34:J34"/>
    <mergeCell ref="G6:J6"/>
    <mergeCell ref="A4:J4"/>
    <mergeCell ref="A83:C83"/>
    <mergeCell ref="D83:E83"/>
    <mergeCell ref="F83:G83"/>
    <mergeCell ref="A84:C84"/>
    <mergeCell ref="D84:E84"/>
    <mergeCell ref="F84:G84"/>
    <mergeCell ref="D82:E82"/>
    <mergeCell ref="F82:G82"/>
    <mergeCell ref="A81:C82"/>
    <mergeCell ref="D81:E81"/>
    <mergeCell ref="F81:G81"/>
    <mergeCell ref="D45:E45"/>
    <mergeCell ref="F45:G45"/>
    <mergeCell ref="H45:I45"/>
    <mergeCell ref="A44:I44"/>
    <mergeCell ref="D46:E46"/>
    <mergeCell ref="F46:G46"/>
    <mergeCell ref="H46:I46"/>
    <mergeCell ref="A46:C47"/>
    <mergeCell ref="A45:C45"/>
    <mergeCell ref="A41:J41"/>
    <mergeCell ref="A6:F6"/>
    <mergeCell ref="A7:J7"/>
    <mergeCell ref="A35:J35"/>
    <mergeCell ref="A43:I43"/>
    <mergeCell ref="A80:G80"/>
    <mergeCell ref="D47:E47"/>
    <mergeCell ref="F47:G47"/>
    <mergeCell ref="H47:I47"/>
    <mergeCell ref="A73:C73"/>
    <mergeCell ref="D72:E72"/>
    <mergeCell ref="F72:G72"/>
    <mergeCell ref="D73:E73"/>
    <mergeCell ref="F73:G73"/>
    <mergeCell ref="A72:C72"/>
    <mergeCell ref="D70:E70"/>
    <mergeCell ref="F70:G70"/>
    <mergeCell ref="D71:E71"/>
    <mergeCell ref="F71:G71"/>
    <mergeCell ref="A75:F75"/>
    <mergeCell ref="A70:C71"/>
  </mergeCells>
  <phoneticPr fontId="6" type="noConversion"/>
  <pageMargins left="0.7" right="0.7" top="0.75" bottom="0.75" header="0.3" footer="0.3"/>
  <pageSetup paperSize="9" scale="50" fitToHeight="0" orientation="portrait" r:id="rId1"/>
  <headerFooter alignWithMargins="0">
    <oddFooter>&amp;C&amp;"Times New Roman,Normal"&amp;8&amp;K000000Løntabel BUPL/Aftaleenheden.&amp;R&amp;"Times New Roman,Normal"&amp;8&amp;K000000&amp;Paf i alt &amp;N</oddFooter>
  </headerFooter>
  <rowBreaks count="1" manualBreakCount="1">
    <brk id="40" max="9" man="1"/>
  </rowBreaks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view="pageBreakPreview" zoomScaleNormal="125" zoomScaleSheetLayoutView="100" zoomScalePageLayoutView="125" workbookViewId="0">
      <selection activeCell="H12" sqref="H12"/>
    </sheetView>
  </sheetViews>
  <sheetFormatPr baseColWidth="10" defaultColWidth="8.83203125" defaultRowHeight="13" x14ac:dyDescent="0.15"/>
  <cols>
    <col min="1" max="1" width="9" style="253" customWidth="1"/>
    <col min="2" max="3" width="11.1640625" style="253" customWidth="1"/>
    <col min="4" max="4" width="11.33203125" style="253" customWidth="1"/>
    <col min="5" max="6" width="10.6640625" style="253" customWidth="1"/>
    <col min="7" max="7" width="10.1640625" style="253" customWidth="1"/>
    <col min="8" max="8" width="10.83203125" style="253" customWidth="1"/>
    <col min="9" max="9" width="11.1640625" style="253" customWidth="1"/>
    <col min="10" max="10" width="9.1640625" style="253" customWidth="1"/>
    <col min="11" max="16384" width="8.83203125" style="253"/>
  </cols>
  <sheetData>
    <row r="1" spans="1:16" ht="20" x14ac:dyDescent="0.2">
      <c r="A1" s="1057" t="s">
        <v>20</v>
      </c>
      <c r="B1" s="1058"/>
      <c r="C1" s="1058"/>
      <c r="D1" s="1058"/>
      <c r="E1" s="1058"/>
      <c r="F1" s="1058"/>
      <c r="G1" s="1058"/>
      <c r="H1" s="1058"/>
      <c r="I1" s="1058"/>
      <c r="J1" s="1059"/>
    </row>
    <row r="2" spans="1:16" ht="20" x14ac:dyDescent="0.2">
      <c r="A2" s="1348" t="s">
        <v>214</v>
      </c>
      <c r="B2" s="1349"/>
      <c r="C2" s="1349"/>
      <c r="D2" s="1349"/>
      <c r="E2" s="1349"/>
      <c r="F2" s="1349"/>
      <c r="G2" s="1349"/>
      <c r="H2" s="1349"/>
      <c r="I2" s="1349"/>
      <c r="J2" s="1350"/>
    </row>
    <row r="3" spans="1:16" ht="21" thickBot="1" x14ac:dyDescent="0.25">
      <c r="A3" s="1177" t="s">
        <v>249</v>
      </c>
      <c r="B3" s="1178"/>
      <c r="C3" s="1178"/>
      <c r="D3" s="1178"/>
      <c r="E3" s="1178"/>
      <c r="F3" s="1178"/>
      <c r="G3" s="1178"/>
      <c r="H3" s="1178"/>
      <c r="I3" s="1178"/>
      <c r="J3" s="1179"/>
    </row>
    <row r="4" spans="1:16" ht="23" x14ac:dyDescent="0.25">
      <c r="A4" s="1357"/>
      <c r="B4" s="1358"/>
      <c r="C4" s="1358"/>
      <c r="D4" s="1358"/>
      <c r="E4" s="1358"/>
      <c r="F4" s="1358"/>
      <c r="G4" s="1358"/>
      <c r="H4" s="1358"/>
      <c r="I4" s="1358"/>
      <c r="J4" s="273"/>
    </row>
    <row r="5" spans="1:16" ht="47.25" customHeight="1" x14ac:dyDescent="0.2">
      <c r="A5" s="900" t="s">
        <v>273</v>
      </c>
      <c r="B5" s="901"/>
      <c r="C5" s="901"/>
      <c r="D5" s="901"/>
      <c r="E5" s="901"/>
      <c r="F5" s="901"/>
      <c r="G5" s="901"/>
      <c r="H5" s="901"/>
      <c r="I5" s="901"/>
      <c r="J5" s="273"/>
    </row>
    <row r="6" spans="1:16" ht="8" customHeight="1" x14ac:dyDescent="0.15">
      <c r="A6" s="297"/>
      <c r="B6" s="297"/>
      <c r="C6" s="297"/>
      <c r="D6" s="297"/>
      <c r="E6" s="297"/>
      <c r="F6" s="297"/>
      <c r="G6" s="297"/>
      <c r="H6" s="297"/>
      <c r="I6" s="297"/>
      <c r="J6" s="273"/>
      <c r="L6" s="284"/>
      <c r="M6" s="283"/>
      <c r="N6" s="283"/>
      <c r="O6" s="283"/>
      <c r="P6" s="283"/>
    </row>
    <row r="7" spans="1:16" ht="18" customHeight="1" thickBot="1" x14ac:dyDescent="0.2">
      <c r="A7" s="297"/>
      <c r="B7" s="297"/>
      <c r="C7" s="297"/>
      <c r="D7" s="297"/>
      <c r="E7" s="297"/>
      <c r="F7" s="297"/>
      <c r="G7" s="297"/>
      <c r="H7" s="297"/>
      <c r="I7" s="297"/>
      <c r="J7" s="273"/>
      <c r="L7" s="284"/>
      <c r="M7" s="283"/>
      <c r="N7" s="283"/>
      <c r="O7" s="283"/>
      <c r="P7" s="283"/>
    </row>
    <row r="8" spans="1:16" ht="19" thickBot="1" x14ac:dyDescent="0.25">
      <c r="A8" s="1354" t="s">
        <v>15</v>
      </c>
      <c r="B8" s="1355"/>
      <c r="C8" s="1355"/>
      <c r="D8" s="1355"/>
      <c r="E8" s="1355"/>
      <c r="F8" s="1356"/>
      <c r="G8" s="1351" t="s">
        <v>187</v>
      </c>
      <c r="H8" s="1352"/>
      <c r="I8" s="1352"/>
      <c r="J8" s="1353"/>
      <c r="L8" s="284"/>
      <c r="M8" s="283"/>
      <c r="N8" s="283"/>
      <c r="O8" s="283"/>
      <c r="P8" s="283"/>
    </row>
    <row r="9" spans="1:16" ht="39" x14ac:dyDescent="0.15">
      <c r="A9" s="545" t="s">
        <v>59</v>
      </c>
      <c r="B9" s="545" t="s">
        <v>78</v>
      </c>
      <c r="C9" s="548" t="s">
        <v>79</v>
      </c>
      <c r="D9" s="545" t="s">
        <v>80</v>
      </c>
      <c r="E9" s="545" t="s">
        <v>81</v>
      </c>
      <c r="F9" s="545" t="s">
        <v>82</v>
      </c>
      <c r="G9" s="549" t="s">
        <v>206</v>
      </c>
      <c r="H9" s="550" t="s">
        <v>209</v>
      </c>
      <c r="I9" s="550" t="s">
        <v>210</v>
      </c>
      <c r="J9" s="551">
        <v>0.14000000000000001</v>
      </c>
    </row>
    <row r="10" spans="1:16" ht="15" customHeight="1" x14ac:dyDescent="0.15">
      <c r="A10" s="453" t="s">
        <v>260</v>
      </c>
      <c r="B10" s="324">
        <f>+'Statens skalatrin'!D46+F24/12</f>
        <v>19942.675568499999</v>
      </c>
      <c r="C10" s="325">
        <f>+'Statens skalatrin'!F46+F24/12</f>
        <v>20354.425568499999</v>
      </c>
      <c r="D10" s="326">
        <f>+'Statens skalatrin'!H46+F24/12</f>
        <v>20639.505568500001</v>
      </c>
      <c r="E10" s="324">
        <f>+'Statens skalatrin'!J46+F24/12</f>
        <v>21051.175568499999</v>
      </c>
      <c r="F10" s="324">
        <f>+'Statens skalatrin'!L46+F24/12</f>
        <v>21336.175568499999</v>
      </c>
      <c r="G10" s="327">
        <f>+'Statens skalatrin'!O46+F24/12</f>
        <v>18656.855568499999</v>
      </c>
      <c r="H10" s="328">
        <f>J10*1/3</f>
        <v>870.65325986333335</v>
      </c>
      <c r="I10" s="329">
        <f>J10*2/3</f>
        <v>1741.3065197266667</v>
      </c>
      <c r="J10" s="329">
        <f>G10*$J$9</f>
        <v>2611.9597795899999</v>
      </c>
    </row>
    <row r="11" spans="1:16" ht="15" customHeight="1" x14ac:dyDescent="0.15">
      <c r="A11" s="336">
        <v>17</v>
      </c>
      <c r="B11" s="324">
        <f>+'Statens skalatrin'!D55</f>
        <v>20762.5</v>
      </c>
      <c r="C11" s="325">
        <f>+'Statens skalatrin'!F55</f>
        <v>21206.33</v>
      </c>
      <c r="D11" s="326">
        <f>+'Statens skalatrin'!H55</f>
        <v>21513.58</v>
      </c>
      <c r="E11" s="324">
        <f>'Statens skalatrin'!J55</f>
        <v>21957.33</v>
      </c>
      <c r="F11" s="324">
        <f>+'Statens skalatrin'!L55</f>
        <v>22264.42</v>
      </c>
      <c r="G11" s="327">
        <f>+'Statens skalatrin'!O55</f>
        <v>19500.169999999998</v>
      </c>
      <c r="H11" s="328">
        <f>J11*1/3</f>
        <v>910.00793333333331</v>
      </c>
      <c r="I11" s="329">
        <f>J11*2/3</f>
        <v>1820.0158666666666</v>
      </c>
      <c r="J11" s="329">
        <f>G11*$J$9</f>
        <v>2730.0237999999999</v>
      </c>
    </row>
    <row r="12" spans="1:16" ht="17" customHeight="1" thickBot="1" x14ac:dyDescent="0.2">
      <c r="A12" s="337" t="s">
        <v>188</v>
      </c>
      <c r="B12" s="330">
        <f>+'Statens skalatrin'!D64+F25/12</f>
        <v>21770.376257</v>
      </c>
      <c r="C12" s="331">
        <f>+'Statens skalatrin'!F64+F25/12</f>
        <v>22248.706257000002</v>
      </c>
      <c r="D12" s="332">
        <f>+'Statens skalatrin'!H64+F25/12</f>
        <v>22580.046256999998</v>
      </c>
      <c r="E12" s="330">
        <f>+'Statens skalatrin'!J64+F25/12</f>
        <v>23058.546256999998</v>
      </c>
      <c r="F12" s="330">
        <f>+'Statens skalatrin'!L64+F25/12</f>
        <v>23389.706257000002</v>
      </c>
      <c r="G12" s="333">
        <f>+'Statens skalatrin'!O64+F25/12</f>
        <v>20647.696257</v>
      </c>
      <c r="H12" s="334">
        <f>J12*1/3</f>
        <v>963.55915865999998</v>
      </c>
      <c r="I12" s="335">
        <f>J12*2/3</f>
        <v>1927.11831732</v>
      </c>
      <c r="J12" s="335">
        <f>G12*$J$9</f>
        <v>2890.6774759800001</v>
      </c>
    </row>
    <row r="13" spans="1:16" ht="17" customHeight="1" x14ac:dyDescent="0.15">
      <c r="A13" s="283" t="s">
        <v>274</v>
      </c>
      <c r="B13" s="277"/>
      <c r="C13" s="277"/>
      <c r="D13" s="277"/>
      <c r="E13" s="277"/>
      <c r="F13" s="277"/>
      <c r="G13" s="301"/>
      <c r="H13" s="302"/>
      <c r="I13" s="303"/>
      <c r="J13" s="303"/>
    </row>
    <row r="14" spans="1:16" ht="16" customHeight="1" thickBot="1" x14ac:dyDescent="0.2">
      <c r="A14" s="298"/>
      <c r="B14" s="298"/>
      <c r="C14" s="298"/>
      <c r="D14" s="298"/>
      <c r="E14" s="298"/>
      <c r="F14" s="298"/>
      <c r="G14" s="298"/>
      <c r="H14" s="298"/>
      <c r="I14" s="298"/>
      <c r="J14" s="273"/>
      <c r="L14" s="300"/>
    </row>
    <row r="15" spans="1:16" ht="16" customHeight="1" thickBot="1" x14ac:dyDescent="0.25">
      <c r="A15" s="1351" t="s">
        <v>189</v>
      </c>
      <c r="B15" s="1352"/>
      <c r="C15" s="1352"/>
      <c r="D15" s="1352"/>
      <c r="E15" s="1352"/>
      <c r="F15" s="1353"/>
      <c r="G15" s="283"/>
      <c r="H15" s="283"/>
      <c r="I15" s="283"/>
      <c r="J15" s="273"/>
      <c r="L15" s="300"/>
    </row>
    <row r="16" spans="1:16" ht="16" customHeight="1" thickBot="1" x14ac:dyDescent="0.2">
      <c r="A16" s="287" t="s">
        <v>190</v>
      </c>
      <c r="B16" s="288"/>
      <c r="C16" s="288"/>
      <c r="D16" s="288"/>
      <c r="E16" s="288"/>
      <c r="F16" s="289"/>
      <c r="G16" s="283"/>
      <c r="H16" s="283"/>
      <c r="I16" s="283"/>
      <c r="J16" s="273"/>
      <c r="L16" s="300"/>
    </row>
    <row r="17" spans="1:10" ht="16" customHeight="1" x14ac:dyDescent="0.15">
      <c r="A17" s="545" t="s">
        <v>59</v>
      </c>
      <c r="B17" s="546" t="s">
        <v>78</v>
      </c>
      <c r="C17" s="545" t="s">
        <v>79</v>
      </c>
      <c r="D17" s="546" t="s">
        <v>80</v>
      </c>
      <c r="E17" s="545" t="s">
        <v>81</v>
      </c>
      <c r="F17" s="547" t="s">
        <v>82</v>
      </c>
      <c r="G17" s="283"/>
      <c r="H17" s="283"/>
      <c r="I17" s="283"/>
      <c r="J17" s="273"/>
    </row>
    <row r="18" spans="1:10" ht="16" customHeight="1" thickBot="1" x14ac:dyDescent="0.2">
      <c r="A18" s="341">
        <v>14</v>
      </c>
      <c r="B18" s="338">
        <f>B10*12/1924</f>
        <v>124.3825919033264</v>
      </c>
      <c r="C18" s="339">
        <f>C10*12/1924</f>
        <v>126.95067922141372</v>
      </c>
      <c r="D18" s="338">
        <f>D10*12/1924</f>
        <v>128.72872495945947</v>
      </c>
      <c r="E18" s="339">
        <f>E10*12/1924</f>
        <v>131.2963133170478</v>
      </c>
      <c r="F18" s="340">
        <f>F10*12/1924</f>
        <v>133.07386009459461</v>
      </c>
      <c r="G18" s="283"/>
      <c r="H18" s="282"/>
      <c r="I18" s="282"/>
      <c r="J18" s="273"/>
    </row>
    <row r="19" spans="1:10" ht="15" customHeight="1" x14ac:dyDescent="0.15">
      <c r="A19" s="292"/>
      <c r="B19" s="291"/>
      <c r="C19" s="291"/>
      <c r="D19" s="291"/>
      <c r="E19" s="291"/>
      <c r="F19" s="291"/>
      <c r="G19" s="283"/>
      <c r="H19" s="282"/>
      <c r="I19" s="282"/>
      <c r="J19" s="273"/>
    </row>
    <row r="20" spans="1:10" ht="13" customHeight="1" thickBot="1" x14ac:dyDescent="0.2">
      <c r="A20" s="292"/>
      <c r="B20" s="291"/>
      <c r="C20" s="291"/>
      <c r="D20" s="291"/>
      <c r="E20" s="291"/>
      <c r="F20" s="291"/>
      <c r="G20" s="283"/>
      <c r="H20" s="282"/>
      <c r="I20" s="282"/>
      <c r="J20" s="273"/>
    </row>
    <row r="21" spans="1:10" ht="15" customHeight="1" thickBot="1" x14ac:dyDescent="0.2">
      <c r="A21" s="994" t="s">
        <v>182</v>
      </c>
      <c r="B21" s="995"/>
      <c r="C21" s="995"/>
      <c r="D21" s="995"/>
      <c r="E21" s="995"/>
      <c r="F21" s="996"/>
      <c r="G21" s="245"/>
      <c r="H21" s="245"/>
      <c r="I21" s="245"/>
      <c r="J21" s="273"/>
    </row>
    <row r="22" spans="1:10" ht="15" customHeight="1" x14ac:dyDescent="0.15">
      <c r="A22" s="1325" t="s">
        <v>201</v>
      </c>
      <c r="B22" s="1326"/>
      <c r="C22" s="1326"/>
      <c r="D22" s="1326"/>
      <c r="E22" s="539" t="s">
        <v>102</v>
      </c>
      <c r="F22" s="543" t="s">
        <v>107</v>
      </c>
      <c r="G22" s="294"/>
      <c r="H22" s="283"/>
      <c r="I22" s="283"/>
      <c r="J22" s="273"/>
    </row>
    <row r="23" spans="1:10" ht="15" customHeight="1" thickBot="1" x14ac:dyDescent="0.2">
      <c r="A23" s="1328"/>
      <c r="B23" s="1329"/>
      <c r="C23" s="1329"/>
      <c r="D23" s="1329"/>
      <c r="E23" s="541">
        <v>40999</v>
      </c>
      <c r="F23" s="544" t="str">
        <f>'Løntabel gældende fra'!$D$1</f>
        <v>01/04/17</v>
      </c>
      <c r="G23" s="294"/>
      <c r="H23" s="283"/>
      <c r="I23" s="283"/>
      <c r="J23" s="273"/>
    </row>
    <row r="24" spans="1:10" ht="15" customHeight="1" thickBot="1" x14ac:dyDescent="0.2">
      <c r="A24" s="1361" t="s">
        <v>259</v>
      </c>
      <c r="B24" s="1362"/>
      <c r="C24" s="1362"/>
      <c r="D24" s="514"/>
      <c r="E24" s="350">
        <v>1957</v>
      </c>
      <c r="F24" s="342">
        <f>E24+E24*'Løntabel gældende fra'!$D$7%</f>
        <v>2040.066822</v>
      </c>
      <c r="G24" s="294"/>
      <c r="H24" s="283"/>
      <c r="I24" s="283"/>
      <c r="J24" s="273"/>
    </row>
    <row r="25" spans="1:10" ht="15" customHeight="1" thickBot="1" x14ac:dyDescent="0.2">
      <c r="A25" s="1359" t="s">
        <v>202</v>
      </c>
      <c r="B25" s="1360"/>
      <c r="C25" s="1360"/>
      <c r="D25" s="515"/>
      <c r="E25" s="350">
        <v>554</v>
      </c>
      <c r="F25" s="342">
        <f>E25+E25*'Løntabel gældende fra'!$D$7%</f>
        <v>577.515084</v>
      </c>
      <c r="G25" s="294"/>
      <c r="H25" s="283"/>
      <c r="I25" s="283"/>
      <c r="J25" s="273"/>
    </row>
    <row r="26" spans="1:10" ht="15" customHeight="1" x14ac:dyDescent="0.15">
      <c r="A26" s="293"/>
      <c r="B26" s="291"/>
      <c r="C26" s="291"/>
      <c r="D26" s="291"/>
      <c r="E26" s="291"/>
      <c r="F26" s="291"/>
      <c r="G26" s="283"/>
      <c r="H26" s="283"/>
      <c r="I26" s="283"/>
      <c r="J26" s="273"/>
    </row>
    <row r="27" spans="1:10" ht="15" customHeight="1" thickBot="1" x14ac:dyDescent="0.2">
      <c r="A27" s="293"/>
      <c r="B27" s="291"/>
      <c r="C27" s="291"/>
      <c r="D27" s="291"/>
      <c r="E27" s="291"/>
      <c r="F27" s="291"/>
      <c r="G27" s="283"/>
      <c r="H27" s="283"/>
      <c r="I27" s="283"/>
      <c r="J27" s="273"/>
    </row>
    <row r="28" spans="1:10" ht="15" customHeight="1" thickBot="1" x14ac:dyDescent="0.2">
      <c r="A28" s="994" t="s">
        <v>191</v>
      </c>
      <c r="B28" s="995"/>
      <c r="C28" s="995"/>
      <c r="D28" s="995"/>
      <c r="E28" s="995"/>
      <c r="F28" s="995"/>
      <c r="G28" s="995"/>
      <c r="H28" s="995"/>
      <c r="I28" s="996"/>
      <c r="J28" s="273"/>
    </row>
    <row r="29" spans="1:10" ht="15" customHeight="1" thickBot="1" x14ac:dyDescent="0.2">
      <c r="A29" s="1333"/>
      <c r="B29" s="1334"/>
      <c r="C29" s="1334"/>
      <c r="D29" s="1334"/>
      <c r="E29" s="1334"/>
      <c r="F29" s="1334"/>
      <c r="G29" s="1334"/>
      <c r="H29" s="539" t="s">
        <v>102</v>
      </c>
      <c r="I29" s="540" t="s">
        <v>107</v>
      </c>
      <c r="J29" s="273"/>
    </row>
    <row r="30" spans="1:10" ht="15" customHeight="1" thickBot="1" x14ac:dyDescent="0.2">
      <c r="A30" s="1335"/>
      <c r="B30" s="1336"/>
      <c r="C30" s="1336"/>
      <c r="D30" s="1336"/>
      <c r="E30" s="1336"/>
      <c r="F30" s="1336"/>
      <c r="G30" s="1337"/>
      <c r="H30" s="541">
        <v>40999</v>
      </c>
      <c r="I30" s="542" t="str">
        <f>'Løntabel gældende fra'!$D$1</f>
        <v>01/04/17</v>
      </c>
      <c r="J30" s="273"/>
    </row>
    <row r="31" spans="1:10" ht="15" customHeight="1" x14ac:dyDescent="0.15">
      <c r="A31" s="1338" t="s">
        <v>192</v>
      </c>
      <c r="B31" s="1339"/>
      <c r="C31" s="1339"/>
      <c r="D31" s="1339"/>
      <c r="E31" s="1339"/>
      <c r="F31" s="278"/>
      <c r="G31" s="280" t="s">
        <v>184</v>
      </c>
      <c r="H31" s="343">
        <v>22.32</v>
      </c>
      <c r="I31" s="344">
        <f>H31+H31*'Løntabel gældende fra'!$D$7%</f>
        <v>23.267394719999999</v>
      </c>
      <c r="J31" s="273"/>
    </row>
    <row r="32" spans="1:10" ht="15" customHeight="1" x14ac:dyDescent="0.15">
      <c r="A32" s="1346" t="s">
        <v>193</v>
      </c>
      <c r="B32" s="1347"/>
      <c r="C32" s="1347"/>
      <c r="D32" s="1347"/>
      <c r="E32" s="1347"/>
      <c r="F32" s="299"/>
      <c r="G32" s="281" t="s">
        <v>184</v>
      </c>
      <c r="H32" s="345">
        <v>39.921999999999997</v>
      </c>
      <c r="I32" s="346">
        <f>H32+H32*'Løntabel gældende fra'!$D$7%</f>
        <v>41.616529211999996</v>
      </c>
      <c r="J32" s="273"/>
    </row>
    <row r="33" spans="1:10" ht="26" customHeight="1" x14ac:dyDescent="0.15">
      <c r="A33" s="1338" t="s">
        <v>194</v>
      </c>
      <c r="B33" s="1339"/>
      <c r="C33" s="1339"/>
      <c r="D33" s="1339"/>
      <c r="E33" s="1339"/>
      <c r="F33" s="1339"/>
      <c r="G33" s="281" t="s">
        <v>184</v>
      </c>
      <c r="H33" s="345">
        <v>39.92</v>
      </c>
      <c r="I33" s="346">
        <f>H33+H33*'Løntabel gældende fra'!$D$7%</f>
        <v>41.614444320000004</v>
      </c>
      <c r="J33" s="273"/>
    </row>
    <row r="34" spans="1:10" ht="15" customHeight="1" thickBot="1" x14ac:dyDescent="0.2">
      <c r="A34" s="312" t="s">
        <v>183</v>
      </c>
      <c r="B34" s="311"/>
      <c r="C34" s="311"/>
      <c r="D34" s="311"/>
      <c r="E34" s="295"/>
      <c r="F34" s="295"/>
      <c r="G34" s="306" t="s">
        <v>184</v>
      </c>
      <c r="H34" s="347">
        <v>39.921999999999997</v>
      </c>
      <c r="I34" s="348">
        <f>H34+H34*'Løntabel gældende fra'!$D$7%</f>
        <v>41.616529211999996</v>
      </c>
      <c r="J34" s="273"/>
    </row>
    <row r="35" spans="1:10" ht="15" customHeight="1" x14ac:dyDescent="0.15">
      <c r="A35" s="305"/>
      <c r="B35" s="305"/>
      <c r="C35" s="305"/>
      <c r="D35" s="305"/>
      <c r="E35" s="305"/>
      <c r="F35" s="305"/>
      <c r="G35" s="305"/>
      <c r="H35" s="264"/>
      <c r="I35" s="304"/>
      <c r="J35" s="273"/>
    </row>
    <row r="36" spans="1:10" ht="15" customHeight="1" thickBot="1" x14ac:dyDescent="0.2">
      <c r="A36" s="305"/>
      <c r="B36" s="305"/>
      <c r="C36" s="305"/>
      <c r="D36" s="305"/>
      <c r="E36" s="305"/>
      <c r="F36" s="305"/>
      <c r="G36" s="305"/>
      <c r="H36" s="264"/>
      <c r="I36" s="304"/>
      <c r="J36" s="273"/>
    </row>
    <row r="37" spans="1:10" ht="15" customHeight="1" thickBot="1" x14ac:dyDescent="0.2">
      <c r="A37" s="994" t="s">
        <v>195</v>
      </c>
      <c r="B37" s="995"/>
      <c r="C37" s="995"/>
      <c r="D37" s="995"/>
      <c r="E37" s="995"/>
      <c r="F37" s="995"/>
      <c r="G37" s="995"/>
      <c r="H37" s="995"/>
      <c r="I37" s="996"/>
      <c r="J37" s="283"/>
    </row>
    <row r="38" spans="1:10" ht="15" customHeight="1" thickBot="1" x14ac:dyDescent="0.2">
      <c r="A38" s="1333"/>
      <c r="B38" s="1334"/>
      <c r="C38" s="1334"/>
      <c r="D38" s="1334"/>
      <c r="E38" s="1334"/>
      <c r="F38" s="1334"/>
      <c r="G38" s="1334"/>
      <c r="H38" s="539" t="s">
        <v>102</v>
      </c>
      <c r="I38" s="540" t="s">
        <v>107</v>
      </c>
      <c r="J38" s="283"/>
    </row>
    <row r="39" spans="1:10" ht="15" customHeight="1" thickBot="1" x14ac:dyDescent="0.2">
      <c r="A39" s="1335"/>
      <c r="B39" s="1336"/>
      <c r="C39" s="1336"/>
      <c r="D39" s="1336"/>
      <c r="E39" s="1336"/>
      <c r="F39" s="1336"/>
      <c r="G39" s="1337"/>
      <c r="H39" s="541">
        <v>40999</v>
      </c>
      <c r="I39" s="542" t="str">
        <f>'Løntabel gældende fra'!$D$1</f>
        <v>01/04/17</v>
      </c>
      <c r="J39" s="283"/>
    </row>
    <row r="40" spans="1:10" ht="15" customHeight="1" thickBot="1" x14ac:dyDescent="0.2">
      <c r="A40" s="1331" t="s">
        <v>196</v>
      </c>
      <c r="B40" s="1332"/>
      <c r="C40" s="1332"/>
      <c r="D40" s="1332"/>
      <c r="E40" s="1332"/>
      <c r="F40" s="279"/>
      <c r="G40" s="290" t="s">
        <v>184</v>
      </c>
      <c r="H40" s="349">
        <v>6.88</v>
      </c>
      <c r="I40" s="342">
        <f>H40+H40*'Løntabel gældende fra'!$D$7%</f>
        <v>7.1720284799999998</v>
      </c>
      <c r="J40" s="283"/>
    </row>
    <row r="41" spans="1:10" ht="15" customHeight="1" x14ac:dyDescent="0.15">
      <c r="A41" s="273"/>
      <c r="B41" s="273"/>
      <c r="C41" s="273"/>
      <c r="D41" s="273"/>
      <c r="E41" s="273"/>
      <c r="F41" s="274"/>
      <c r="G41" s="273"/>
      <c r="H41" s="274"/>
      <c r="I41" s="273"/>
      <c r="J41" s="283"/>
    </row>
    <row r="42" spans="1:10" ht="15" customHeight="1" thickBot="1" x14ac:dyDescent="0.2">
      <c r="A42" s="273"/>
      <c r="B42" s="273"/>
      <c r="C42" s="273"/>
      <c r="D42" s="273"/>
      <c r="E42" s="273"/>
      <c r="F42" s="274"/>
      <c r="G42" s="273"/>
      <c r="H42" s="274"/>
      <c r="I42" s="273"/>
      <c r="J42" s="283"/>
    </row>
    <row r="43" spans="1:10" ht="15" customHeight="1" thickBot="1" x14ac:dyDescent="0.2">
      <c r="A43" s="994" t="s">
        <v>197</v>
      </c>
      <c r="B43" s="995"/>
      <c r="C43" s="995"/>
      <c r="D43" s="995"/>
      <c r="E43" s="995"/>
      <c r="F43" s="995"/>
      <c r="G43" s="995"/>
      <c r="H43" s="995"/>
      <c r="I43" s="996"/>
      <c r="J43" s="283"/>
    </row>
    <row r="44" spans="1:10" ht="15" customHeight="1" x14ac:dyDescent="0.15">
      <c r="A44" s="1340"/>
      <c r="B44" s="1341"/>
      <c r="C44" s="1341"/>
      <c r="D44" s="1341"/>
      <c r="E44" s="1341"/>
      <c r="F44" s="1341"/>
      <c r="G44" s="1342"/>
      <c r="H44" s="539" t="s">
        <v>102</v>
      </c>
      <c r="I44" s="540" t="s">
        <v>107</v>
      </c>
      <c r="J44" s="283"/>
    </row>
    <row r="45" spans="1:10" ht="15" customHeight="1" thickBot="1" x14ac:dyDescent="0.2">
      <c r="A45" s="1343"/>
      <c r="B45" s="1344"/>
      <c r="C45" s="1344"/>
      <c r="D45" s="1344"/>
      <c r="E45" s="1344"/>
      <c r="F45" s="1344"/>
      <c r="G45" s="1345"/>
      <c r="H45" s="541">
        <v>40999</v>
      </c>
      <c r="I45" s="542" t="str">
        <f>'Løntabel gældende fra'!$D$1</f>
        <v>01/04/17</v>
      </c>
      <c r="J45" s="283"/>
    </row>
    <row r="46" spans="1:10" ht="15" customHeight="1" thickBot="1" x14ac:dyDescent="0.2">
      <c r="A46" s="1331" t="s">
        <v>215</v>
      </c>
      <c r="B46" s="1332"/>
      <c r="C46" s="1332"/>
      <c r="D46" s="1332"/>
      <c r="E46" s="1332"/>
      <c r="F46" s="279"/>
      <c r="G46" s="290"/>
      <c r="H46" s="349">
        <v>655</v>
      </c>
      <c r="I46" s="342">
        <f>H46+H46*'Løntabel gældende fra'!$D$7%</f>
        <v>682.80213000000003</v>
      </c>
      <c r="J46" s="283"/>
    </row>
    <row r="47" spans="1:10" ht="15" customHeight="1" x14ac:dyDescent="0.15">
      <c r="A47" s="273"/>
      <c r="B47" s="273"/>
      <c r="C47" s="273"/>
      <c r="D47" s="273"/>
      <c r="E47" s="273"/>
      <c r="F47" s="274"/>
      <c r="G47" s="273"/>
      <c r="H47" s="274"/>
      <c r="I47" s="273"/>
      <c r="J47" s="283"/>
    </row>
    <row r="48" spans="1:10" ht="15" customHeight="1" thickBot="1" x14ac:dyDescent="0.2">
      <c r="A48" s="273"/>
      <c r="B48" s="273"/>
      <c r="C48" s="273"/>
      <c r="D48" s="273"/>
      <c r="E48" s="273"/>
      <c r="F48" s="274"/>
      <c r="G48" s="273"/>
      <c r="H48" s="274"/>
      <c r="I48" s="273"/>
      <c r="J48" s="283"/>
    </row>
    <row r="49" spans="1:10" ht="15" customHeight="1" thickBot="1" x14ac:dyDescent="0.2">
      <c r="A49" s="994" t="s">
        <v>198</v>
      </c>
      <c r="B49" s="995"/>
      <c r="C49" s="995"/>
      <c r="D49" s="995"/>
      <c r="E49" s="995"/>
      <c r="F49" s="995"/>
      <c r="G49" s="995"/>
      <c r="H49" s="995"/>
      <c r="I49" s="996"/>
      <c r="J49" s="283"/>
    </row>
    <row r="50" spans="1:10" ht="15" customHeight="1" x14ac:dyDescent="0.15">
      <c r="A50" s="1325" t="s">
        <v>200</v>
      </c>
      <c r="B50" s="1326"/>
      <c r="C50" s="1326"/>
      <c r="D50" s="1326"/>
      <c r="E50" s="1326"/>
      <c r="F50" s="1326"/>
      <c r="G50" s="1327"/>
      <c r="H50" s="539" t="s">
        <v>102</v>
      </c>
      <c r="I50" s="540" t="s">
        <v>107</v>
      </c>
      <c r="J50" s="283"/>
    </row>
    <row r="51" spans="1:10" ht="15" customHeight="1" thickBot="1" x14ac:dyDescent="0.2">
      <c r="A51" s="1328"/>
      <c r="B51" s="1329"/>
      <c r="C51" s="1329"/>
      <c r="D51" s="1329"/>
      <c r="E51" s="1329"/>
      <c r="F51" s="1329"/>
      <c r="G51" s="1330"/>
      <c r="H51" s="541">
        <v>40999</v>
      </c>
      <c r="I51" s="542" t="str">
        <f>'Løntabel gældende fra'!$D$1</f>
        <v>01/04/17</v>
      </c>
      <c r="J51" s="283"/>
    </row>
    <row r="52" spans="1:10" ht="15" customHeight="1" thickBot="1" x14ac:dyDescent="0.2">
      <c r="A52" s="1331" t="s">
        <v>199</v>
      </c>
      <c r="B52" s="1332"/>
      <c r="C52" s="1332"/>
      <c r="D52" s="1332"/>
      <c r="E52" s="1332"/>
      <c r="F52" s="279"/>
      <c r="G52" s="290"/>
      <c r="H52" s="349">
        <v>0</v>
      </c>
      <c r="I52" s="342">
        <f>H52+H52*'Løntabel gældende fra'!$D$7%</f>
        <v>0</v>
      </c>
      <c r="J52" s="283"/>
    </row>
    <row r="53" spans="1:10" ht="15" customHeight="1" x14ac:dyDescent="0.15">
      <c r="A53" s="273"/>
      <c r="B53" s="273"/>
      <c r="C53" s="273"/>
      <c r="D53" s="273"/>
      <c r="E53" s="273"/>
      <c r="F53" s="274"/>
      <c r="G53" s="273"/>
      <c r="H53" s="274"/>
      <c r="I53" s="273"/>
      <c r="J53" s="283"/>
    </row>
    <row r="54" spans="1:10" ht="15" customHeight="1" thickBot="1" x14ac:dyDescent="0.2">
      <c r="A54" s="273"/>
      <c r="B54" s="273"/>
      <c r="C54" s="273"/>
      <c r="D54" s="273"/>
      <c r="E54" s="273"/>
      <c r="F54" s="274"/>
      <c r="G54" s="273"/>
      <c r="H54" s="274"/>
      <c r="I54" s="273"/>
      <c r="J54" s="283"/>
    </row>
    <row r="55" spans="1:10" s="283" customFormat="1" ht="19" thickBot="1" x14ac:dyDescent="0.2">
      <c r="A55" s="994" t="s">
        <v>205</v>
      </c>
      <c r="B55" s="995"/>
      <c r="C55" s="995"/>
      <c r="D55" s="995"/>
      <c r="E55" s="995"/>
      <c r="F55" s="995"/>
      <c r="G55" s="995"/>
      <c r="H55" s="995"/>
      <c r="I55" s="996"/>
    </row>
    <row r="56" spans="1:10" s="283" customFormat="1" ht="14" x14ac:dyDescent="0.15">
      <c r="A56" s="1325"/>
      <c r="B56" s="1326"/>
      <c r="C56" s="1326"/>
      <c r="D56" s="1326"/>
      <c r="E56" s="1326"/>
      <c r="F56" s="1326"/>
      <c r="G56" s="1327"/>
      <c r="H56" s="539" t="s">
        <v>102</v>
      </c>
      <c r="I56" s="540" t="s">
        <v>107</v>
      </c>
    </row>
    <row r="57" spans="1:10" s="283" customFormat="1" ht="15" thickBot="1" x14ac:dyDescent="0.2">
      <c r="A57" s="1328"/>
      <c r="B57" s="1329"/>
      <c r="C57" s="1329"/>
      <c r="D57" s="1329"/>
      <c r="E57" s="1329"/>
      <c r="F57" s="1329"/>
      <c r="G57" s="1330"/>
      <c r="H57" s="541">
        <v>40999</v>
      </c>
      <c r="I57" s="542" t="str">
        <f>'Løntabel gældende fra'!$D$1</f>
        <v>01/04/17</v>
      </c>
    </row>
    <row r="58" spans="1:10" s="283" customFormat="1" ht="15" thickBot="1" x14ac:dyDescent="0.2">
      <c r="A58" s="1331" t="s">
        <v>205</v>
      </c>
      <c r="B58" s="1332"/>
      <c r="C58" s="1332"/>
      <c r="D58" s="1332"/>
      <c r="E58" s="1332"/>
      <c r="F58" s="279"/>
      <c r="G58" s="290"/>
      <c r="H58" s="349">
        <v>10500</v>
      </c>
      <c r="I58" s="350">
        <f>H58+H58*'Løntabel gældende fra'!$D$7%</f>
        <v>10945.683000000001</v>
      </c>
    </row>
    <row r="59" spans="1:10" s="310" customFormat="1" ht="14" x14ac:dyDescent="0.15">
      <c r="A59" s="307"/>
      <c r="B59" s="307"/>
      <c r="C59" s="307"/>
      <c r="D59" s="307"/>
      <c r="E59" s="307"/>
      <c r="F59" s="294"/>
      <c r="G59" s="294"/>
      <c r="H59" s="308"/>
      <c r="I59" s="309"/>
    </row>
  </sheetData>
  <sheetProtection algorithmName="SHA-512" hashValue="AyjNfP6ulIQbGOSduTfLM0yMPMukmW2G0CCnfh4iT/w0yWlbiZPRzKY3RB9aVwVORfD1aacLTuhCywMCzN+q+g==" saltValue="ujB9Ub6xuuAd7dBIwZVd5w==" spinCount="100000" sheet="1" objects="1" scenarios="1"/>
  <mergeCells count="29">
    <mergeCell ref="A29:G30"/>
    <mergeCell ref="A31:E31"/>
    <mergeCell ref="A32:E32"/>
    <mergeCell ref="A1:J1"/>
    <mergeCell ref="A2:J2"/>
    <mergeCell ref="A3:J3"/>
    <mergeCell ref="G8:J8"/>
    <mergeCell ref="A8:F8"/>
    <mergeCell ref="A4:I4"/>
    <mergeCell ref="A5:I5"/>
    <mergeCell ref="A15:F15"/>
    <mergeCell ref="A21:F21"/>
    <mergeCell ref="A22:D23"/>
    <mergeCell ref="A25:C25"/>
    <mergeCell ref="A28:I28"/>
    <mergeCell ref="A24:C24"/>
    <mergeCell ref="A33:F33"/>
    <mergeCell ref="A43:I43"/>
    <mergeCell ref="A44:G45"/>
    <mergeCell ref="A49:I49"/>
    <mergeCell ref="A50:G51"/>
    <mergeCell ref="A56:G57"/>
    <mergeCell ref="A58:E58"/>
    <mergeCell ref="A46:E46"/>
    <mergeCell ref="A52:E52"/>
    <mergeCell ref="A37:I37"/>
    <mergeCell ref="A38:G39"/>
    <mergeCell ref="A40:E40"/>
    <mergeCell ref="A55:I55"/>
  </mergeCells>
  <phoneticPr fontId="6" type="noConversion"/>
  <pageMargins left="0.59055118110236227" right="0.59055118110236227" top="0.74803149606299213" bottom="0.74803149606299213" header="0.31496062992125984" footer="0.31496062992125984"/>
  <pageSetup paperSize="9" scale="86" fitToHeight="3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27" zoomScale="125" zoomScaleNormal="125" zoomScalePageLayoutView="125" workbookViewId="0">
      <selection activeCell="H12" sqref="H12"/>
    </sheetView>
  </sheetViews>
  <sheetFormatPr baseColWidth="10" defaultColWidth="8.83203125" defaultRowHeight="13" x14ac:dyDescent="0.15"/>
  <cols>
    <col min="1" max="1" width="13.33203125" style="253" customWidth="1"/>
    <col min="2" max="2" width="15" style="253" customWidth="1"/>
    <col min="3" max="3" width="16.33203125" style="253" customWidth="1"/>
    <col min="4" max="4" width="16.1640625" style="254" customWidth="1"/>
    <col min="5" max="5" width="17.33203125" style="253" customWidth="1"/>
    <col min="6" max="6" width="13.6640625" style="255" customWidth="1"/>
    <col min="7" max="7" width="0.33203125" style="255" customWidth="1"/>
    <col min="8" max="8" width="10.6640625" style="253" customWidth="1"/>
    <col min="9" max="16384" width="8.83203125" style="253"/>
  </cols>
  <sheetData>
    <row r="1" spans="1:9" s="2" customFormat="1" ht="22" customHeight="1" x14ac:dyDescent="0.2">
      <c r="A1" s="1057" t="s">
        <v>20</v>
      </c>
      <c r="B1" s="1058"/>
      <c r="C1" s="1058"/>
      <c r="D1" s="1058"/>
      <c r="E1" s="1058"/>
      <c r="F1" s="1058"/>
      <c r="G1" s="1059"/>
      <c r="H1" s="497"/>
      <c r="I1" s="44"/>
    </row>
    <row r="2" spans="1:9" s="2" customFormat="1" ht="76" customHeight="1" x14ac:dyDescent="0.2">
      <c r="A2" s="1348" t="s">
        <v>161</v>
      </c>
      <c r="B2" s="1349"/>
      <c r="C2" s="1349"/>
      <c r="D2" s="1349"/>
      <c r="E2" s="1349"/>
      <c r="F2" s="1349"/>
      <c r="G2" s="1350"/>
      <c r="H2" s="496"/>
    </row>
    <row r="3" spans="1:9" s="2" customFormat="1" ht="28" customHeight="1" thickBot="1" x14ac:dyDescent="0.25">
      <c r="A3" s="1177" t="s">
        <v>249</v>
      </c>
      <c r="B3" s="1178"/>
      <c r="C3" s="1178"/>
      <c r="D3" s="1178"/>
      <c r="E3" s="1178"/>
      <c r="F3" s="1178"/>
      <c r="G3" s="1179"/>
      <c r="H3" s="497"/>
    </row>
    <row r="4" spans="1:9" ht="12" customHeight="1" thickBot="1" x14ac:dyDescent="0.25">
      <c r="A4" s="1364"/>
      <c r="B4" s="1364"/>
      <c r="C4" s="1364"/>
      <c r="D4" s="1364"/>
      <c r="E4" s="1364"/>
      <c r="F4" s="1364"/>
      <c r="G4" s="1364"/>
    </row>
    <row r="5" spans="1:9" ht="19" thickBot="1" x14ac:dyDescent="0.2">
      <c r="A5" s="561" t="s">
        <v>164</v>
      </c>
      <c r="B5" s="562"/>
      <c r="C5" s="562"/>
      <c r="D5" s="562"/>
      <c r="E5" s="562"/>
      <c r="F5" s="498"/>
      <c r="G5" s="563"/>
    </row>
    <row r="6" spans="1:9" ht="30" customHeight="1" x14ac:dyDescent="0.15">
      <c r="A6" s="980" t="s">
        <v>151</v>
      </c>
      <c r="B6" s="980" t="s">
        <v>98</v>
      </c>
      <c r="C6" s="501" t="s">
        <v>104</v>
      </c>
      <c r="D6" s="502" t="s">
        <v>104</v>
      </c>
      <c r="E6" s="502" t="s">
        <v>105</v>
      </c>
      <c r="F6" s="439" t="s">
        <v>152</v>
      </c>
    </row>
    <row r="7" spans="1:9" ht="15" customHeight="1" thickBot="1" x14ac:dyDescent="0.2">
      <c r="A7" s="1034"/>
      <c r="B7" s="1034"/>
      <c r="C7" s="436">
        <v>40999</v>
      </c>
      <c r="D7" s="400">
        <f>'Løntabel gældende fra'!C7</f>
        <v>42461</v>
      </c>
      <c r="E7" s="400">
        <f>'Løntabel gældende fra'!C7</f>
        <v>42461</v>
      </c>
      <c r="F7" s="493" t="s">
        <v>153</v>
      </c>
    </row>
    <row r="8" spans="1:9" ht="16" customHeight="1" x14ac:dyDescent="0.15">
      <c r="A8" s="109">
        <v>1</v>
      </c>
      <c r="B8" s="109" t="s">
        <v>154</v>
      </c>
      <c r="C8" s="459">
        <f>12*22670</f>
        <v>272040</v>
      </c>
      <c r="D8" s="261">
        <f>C8+(C8*'Løntabel gældende fra'!$D$7%)</f>
        <v>283587.00984000001</v>
      </c>
      <c r="E8" s="455">
        <f>D8/12</f>
        <v>23632.250820000001</v>
      </c>
      <c r="F8" s="553">
        <f>(E8*12)/1672*1</f>
        <v>169.60945564593302</v>
      </c>
    </row>
    <row r="9" spans="1:9" ht="16" customHeight="1" x14ac:dyDescent="0.15">
      <c r="A9" s="110">
        <v>2</v>
      </c>
      <c r="B9" s="110" t="s">
        <v>162</v>
      </c>
      <c r="C9" s="454">
        <f>25300*12</f>
        <v>303600</v>
      </c>
      <c r="D9" s="219">
        <f>C9+(C9*'Løntabel gældende fra'!$D$7%)</f>
        <v>316486.60560000001</v>
      </c>
      <c r="E9" s="321">
        <f>D9/12</f>
        <v>26373.8838</v>
      </c>
      <c r="F9" s="555">
        <f>(E9*12)/1672*1</f>
        <v>189.28624736842107</v>
      </c>
    </row>
    <row r="10" spans="1:9" ht="16" customHeight="1" x14ac:dyDescent="0.15">
      <c r="A10" s="256">
        <v>3</v>
      </c>
      <c r="B10" s="556" t="s">
        <v>155</v>
      </c>
      <c r="C10" s="557">
        <f>27920*12</f>
        <v>335040</v>
      </c>
      <c r="D10" s="219">
        <f>C10+(C10*'Løntabel gældende fra'!$D$7%)</f>
        <v>349261.10784000001</v>
      </c>
      <c r="E10" s="321">
        <f>D10/12</f>
        <v>29105.09232</v>
      </c>
      <c r="F10" s="555">
        <f>(E10*12)/1672*1</f>
        <v>208.88822239234452</v>
      </c>
    </row>
    <row r="11" spans="1:9" ht="16" customHeight="1" thickBot="1" x14ac:dyDescent="0.2">
      <c r="A11" s="257">
        <v>4</v>
      </c>
      <c r="B11" s="558" t="s">
        <v>163</v>
      </c>
      <c r="C11" s="559">
        <f>29200*12</f>
        <v>350400</v>
      </c>
      <c r="D11" s="196">
        <f>C11+(C11*'Løntabel gældende fra'!$D$7%)</f>
        <v>365273.0784</v>
      </c>
      <c r="E11" s="458">
        <f>D11/12</f>
        <v>30439.423200000001</v>
      </c>
      <c r="F11" s="554">
        <f>(E11*12)/1672*1</f>
        <v>218.46475980861243</v>
      </c>
    </row>
    <row r="12" spans="1:9" ht="11" customHeight="1" thickBot="1" x14ac:dyDescent="0.2"/>
    <row r="13" spans="1:9" ht="19" thickBot="1" x14ac:dyDescent="0.2">
      <c r="A13" s="1007" t="s">
        <v>165</v>
      </c>
      <c r="B13" s="1008"/>
      <c r="C13" s="1008"/>
      <c r="D13" s="1008"/>
      <c r="E13" s="1009"/>
      <c r="F13" s="245"/>
    </row>
    <row r="14" spans="1:9" ht="30" customHeight="1" x14ac:dyDescent="0.15">
      <c r="A14" s="980" t="s">
        <v>151</v>
      </c>
      <c r="B14" s="501" t="s">
        <v>104</v>
      </c>
      <c r="C14" s="502" t="s">
        <v>104</v>
      </c>
      <c r="D14" s="502" t="s">
        <v>105</v>
      </c>
      <c r="E14" s="439" t="s">
        <v>152</v>
      </c>
      <c r="F14" s="45"/>
    </row>
    <row r="15" spans="1:9" ht="17" customHeight="1" thickBot="1" x14ac:dyDescent="0.2">
      <c r="A15" s="1034"/>
      <c r="B15" s="436">
        <v>40999</v>
      </c>
      <c r="C15" s="400">
        <f>'Løntabel gældende fra'!C7</f>
        <v>42461</v>
      </c>
      <c r="D15" s="400">
        <f>'Løntabel gældende fra'!C7</f>
        <v>42461</v>
      </c>
      <c r="E15" s="493" t="s">
        <v>153</v>
      </c>
      <c r="F15" s="45"/>
    </row>
    <row r="16" spans="1:9" ht="16" customHeight="1" x14ac:dyDescent="0.15">
      <c r="A16" s="109" t="s">
        <v>156</v>
      </c>
      <c r="B16" s="459">
        <f>12*13140</f>
        <v>157680</v>
      </c>
      <c r="C16" s="261">
        <f>B16+(B16*'Løntabel gældende fra'!$D$7%)</f>
        <v>164372.88527999999</v>
      </c>
      <c r="D16" s="455">
        <f>C16/12</f>
        <v>13697.74044</v>
      </c>
      <c r="E16" s="553">
        <f>(D16*12)/1672*1</f>
        <v>98.309141913875592</v>
      </c>
      <c r="F16" s="260"/>
    </row>
    <row r="17" spans="1:8" ht="16" customHeight="1" thickBot="1" x14ac:dyDescent="0.2">
      <c r="A17" s="111" t="s">
        <v>157</v>
      </c>
      <c r="B17" s="456">
        <f>12*13800</f>
        <v>165600</v>
      </c>
      <c r="C17" s="196">
        <f>B17+(B17*'Løntabel gældende fra'!$D$7%)</f>
        <v>172629.0576</v>
      </c>
      <c r="D17" s="458">
        <f>C17/12</f>
        <v>14385.754800000001</v>
      </c>
      <c r="E17" s="554">
        <f>(D17*12)/1672*1</f>
        <v>103.24704401913876</v>
      </c>
      <c r="F17" s="260"/>
    </row>
    <row r="18" spans="1:8" ht="13" customHeight="1" thickBot="1" x14ac:dyDescent="0.2"/>
    <row r="19" spans="1:8" ht="19" thickBot="1" x14ac:dyDescent="0.2">
      <c r="A19" s="1007" t="s">
        <v>166</v>
      </c>
      <c r="B19" s="1008"/>
      <c r="C19" s="1008"/>
      <c r="D19" s="1008"/>
      <c r="E19" s="1009"/>
    </row>
    <row r="20" spans="1:8" ht="30" customHeight="1" x14ac:dyDescent="0.15">
      <c r="A20" s="437" t="s">
        <v>151</v>
      </c>
      <c r="B20" s="501" t="s">
        <v>104</v>
      </c>
      <c r="C20" s="502" t="s">
        <v>104</v>
      </c>
      <c r="D20" s="502" t="s">
        <v>105</v>
      </c>
      <c r="E20" s="439" t="s">
        <v>152</v>
      </c>
    </row>
    <row r="21" spans="1:8" ht="16" customHeight="1" thickBot="1" x14ac:dyDescent="0.2">
      <c r="A21" s="440"/>
      <c r="B21" s="436">
        <v>40999</v>
      </c>
      <c r="C21" s="400">
        <f>'Løntabel gældende fra'!C7</f>
        <v>42461</v>
      </c>
      <c r="D21" s="400">
        <f>'Løntabel gældende fra'!C7</f>
        <v>42461</v>
      </c>
      <c r="E21" s="493" t="s">
        <v>153</v>
      </c>
    </row>
    <row r="22" spans="1:8" ht="16" customHeight="1" thickBot="1" x14ac:dyDescent="0.2">
      <c r="A22" s="258" t="s">
        <v>156</v>
      </c>
      <c r="B22" s="460">
        <f>12*18700</f>
        <v>224400</v>
      </c>
      <c r="C22" s="262">
        <f>B22+(B22*'Løntabel gældende fra'!$D$7%)</f>
        <v>233924.8824</v>
      </c>
      <c r="D22" s="263">
        <f>C22/12</f>
        <v>19493.7402</v>
      </c>
      <c r="E22" s="560">
        <f>(D22*12)/1672*1</f>
        <v>139.90722631578947</v>
      </c>
      <c r="F22" s="254"/>
      <c r="G22" s="254"/>
    </row>
    <row r="23" spans="1:8" s="494" customFormat="1" ht="12" customHeight="1" thickBot="1" x14ac:dyDescent="0.2">
      <c r="A23" s="45"/>
      <c r="B23" s="308"/>
      <c r="C23" s="308"/>
      <c r="D23" s="308"/>
      <c r="E23" s="259"/>
      <c r="F23" s="495"/>
      <c r="G23" s="495"/>
    </row>
    <row r="24" spans="1:8" ht="19" thickBot="1" x14ac:dyDescent="0.2">
      <c r="A24" s="1007" t="s">
        <v>168</v>
      </c>
      <c r="B24" s="1008"/>
      <c r="C24" s="1008"/>
      <c r="D24" s="1008"/>
      <c r="E24" s="1009"/>
      <c r="F24" s="245"/>
      <c r="G24" s="245"/>
      <c r="H24" s="245"/>
    </row>
    <row r="25" spans="1:8" ht="31" customHeight="1" thickBot="1" x14ac:dyDescent="0.2">
      <c r="A25" s="972" t="s">
        <v>151</v>
      </c>
      <c r="B25" s="980" t="s">
        <v>21</v>
      </c>
      <c r="C25" s="503" t="s">
        <v>262</v>
      </c>
      <c r="D25" s="504">
        <v>0.17299999999999999</v>
      </c>
      <c r="E25" s="511"/>
      <c r="F25" s="505"/>
      <c r="G25" s="508"/>
      <c r="H25" s="509"/>
    </row>
    <row r="26" spans="1:8" ht="45" customHeight="1" thickBot="1" x14ac:dyDescent="0.2">
      <c r="A26" s="1131"/>
      <c r="B26" s="1034"/>
      <c r="C26" s="244" t="s">
        <v>22</v>
      </c>
      <c r="D26" s="507" t="s">
        <v>263</v>
      </c>
      <c r="E26" s="502" t="s">
        <v>24</v>
      </c>
      <c r="F26" s="1368"/>
      <c r="G26" s="1368"/>
      <c r="H26" s="510"/>
    </row>
    <row r="27" spans="1:8" ht="16" customHeight="1" x14ac:dyDescent="0.15">
      <c r="A27" s="447">
        <v>1</v>
      </c>
      <c r="B27" s="195">
        <f>E8</f>
        <v>23632.250820000001</v>
      </c>
      <c r="C27" s="195">
        <f>E27*1/3</f>
        <v>1362.7931306200001</v>
      </c>
      <c r="D27" s="435">
        <f>E27*2/3</f>
        <v>2725.5862612400001</v>
      </c>
      <c r="E27" s="195">
        <f>B27*$D$25</f>
        <v>4088.3793918599999</v>
      </c>
      <c r="F27" s="505"/>
      <c r="G27" s="506"/>
      <c r="H27" s="300"/>
    </row>
    <row r="28" spans="1:8" ht="16" customHeight="1" x14ac:dyDescent="0.15">
      <c r="A28" s="512">
        <v>2</v>
      </c>
      <c r="B28" s="219">
        <f>E9</f>
        <v>26373.8838</v>
      </c>
      <c r="C28" s="219">
        <f>E28*1/3</f>
        <v>1520.8939657999999</v>
      </c>
      <c r="D28" s="444">
        <f>E28*2/3</f>
        <v>3041.7879315999999</v>
      </c>
      <c r="E28" s="219">
        <f>B28*$D$25</f>
        <v>4562.6818973999998</v>
      </c>
      <c r="F28" s="505"/>
      <c r="G28" s="506"/>
      <c r="H28" s="300"/>
    </row>
    <row r="29" spans="1:8" ht="16" customHeight="1" x14ac:dyDescent="0.15">
      <c r="A29" s="512">
        <v>3</v>
      </c>
      <c r="B29" s="219">
        <f>E10</f>
        <v>29105.09232</v>
      </c>
      <c r="C29" s="219">
        <f>E29*1/3</f>
        <v>1678.3936571199999</v>
      </c>
      <c r="D29" s="444">
        <f>E29*2/3</f>
        <v>3356.7873142399999</v>
      </c>
      <c r="E29" s="219">
        <f>B29*$D$25</f>
        <v>5035.1809713599996</v>
      </c>
      <c r="F29" s="505"/>
      <c r="G29" s="506"/>
      <c r="H29" s="300"/>
    </row>
    <row r="30" spans="1:8" ht="16" customHeight="1" thickBot="1" x14ac:dyDescent="0.2">
      <c r="A30" s="449">
        <v>4</v>
      </c>
      <c r="B30" s="196">
        <f>E11</f>
        <v>30439.423200000001</v>
      </c>
      <c r="C30" s="196">
        <f>E30*1/3</f>
        <v>1755.3400712</v>
      </c>
      <c r="D30" s="442">
        <f>E30*2/3</f>
        <v>3510.6801424</v>
      </c>
      <c r="E30" s="196">
        <f>B30*$D$25</f>
        <v>5266.0202135999998</v>
      </c>
      <c r="F30" s="505"/>
      <c r="G30" s="506"/>
      <c r="H30" s="300"/>
    </row>
    <row r="31" spans="1:8" ht="12" customHeight="1" thickBot="1" x14ac:dyDescent="0.2">
      <c r="A31" s="45"/>
      <c r="B31" s="264"/>
      <c r="C31" s="264"/>
      <c r="D31" s="264"/>
      <c r="E31" s="259"/>
      <c r="F31" s="254"/>
      <c r="G31" s="254"/>
    </row>
    <row r="32" spans="1:8" ht="26.25" customHeight="1" thickBot="1" x14ac:dyDescent="0.2">
      <c r="A32" s="1369" t="s">
        <v>169</v>
      </c>
      <c r="B32" s="1370"/>
      <c r="C32" s="1370"/>
      <c r="D32" s="1370"/>
      <c r="E32" s="1371"/>
      <c r="F32" s="132" t="s">
        <v>96</v>
      </c>
      <c r="G32" s="254"/>
    </row>
    <row r="33" spans="1:8" ht="29" customHeight="1" thickBot="1" x14ac:dyDescent="0.2">
      <c r="A33" s="1039" t="s">
        <v>167</v>
      </c>
      <c r="B33" s="1040"/>
      <c r="C33" s="1040"/>
      <c r="D33" s="1040"/>
      <c r="E33" s="1363"/>
      <c r="F33" s="552">
        <v>160</v>
      </c>
      <c r="G33" s="254"/>
    </row>
    <row r="34" spans="1:8" ht="4.5" customHeight="1" x14ac:dyDescent="0.15">
      <c r="A34" s="499"/>
      <c r="B34" s="499"/>
      <c r="C34" s="499"/>
      <c r="D34" s="499"/>
      <c r="E34" s="499"/>
      <c r="F34" s="500"/>
      <c r="G34" s="254"/>
    </row>
    <row r="35" spans="1:8" s="283" customFormat="1" ht="28" customHeight="1" x14ac:dyDescent="0.15">
      <c r="A35" s="1365" t="s">
        <v>158</v>
      </c>
      <c r="B35" s="1365"/>
      <c r="C35" s="1365"/>
      <c r="D35" s="1365"/>
      <c r="E35" s="1365"/>
      <c r="F35" s="1365"/>
      <c r="G35" s="1365"/>
    </row>
    <row r="36" spans="1:8" s="283" customFormat="1" ht="30" customHeight="1" x14ac:dyDescent="0.15">
      <c r="A36" s="1366" t="s">
        <v>159</v>
      </c>
      <c r="B36" s="1366"/>
      <c r="C36" s="1366"/>
      <c r="D36" s="1366"/>
      <c r="E36" s="1366"/>
      <c r="F36" s="1366"/>
      <c r="G36" s="1366"/>
      <c r="H36" s="513"/>
    </row>
    <row r="37" spans="1:8" s="283" customFormat="1" ht="32.25" customHeight="1" x14ac:dyDescent="0.15">
      <c r="A37" s="1367" t="s">
        <v>160</v>
      </c>
      <c r="B37" s="1367"/>
      <c r="C37" s="1367"/>
      <c r="D37" s="1367"/>
      <c r="E37" s="1367"/>
      <c r="F37" s="1367"/>
      <c r="G37" s="1367"/>
    </row>
    <row r="38" spans="1:8" s="266" customFormat="1" x14ac:dyDescent="0.15">
      <c r="A38" s="265"/>
      <c r="B38" s="265"/>
      <c r="D38" s="267"/>
      <c r="F38" s="268"/>
      <c r="G38" s="268"/>
    </row>
    <row r="39" spans="1:8" s="266" customFormat="1" x14ac:dyDescent="0.15">
      <c r="A39" s="269"/>
      <c r="B39" s="269"/>
      <c r="D39" s="267"/>
      <c r="F39" s="268"/>
      <c r="G39" s="268"/>
    </row>
    <row r="40" spans="1:8" s="266" customFormat="1" x14ac:dyDescent="0.15">
      <c r="A40" s="269"/>
      <c r="B40" s="269"/>
      <c r="C40" s="270"/>
      <c r="D40" s="267"/>
      <c r="F40" s="268"/>
      <c r="G40" s="268"/>
    </row>
    <row r="41" spans="1:8" s="266" customFormat="1" x14ac:dyDescent="0.15">
      <c r="C41" s="271"/>
      <c r="D41" s="267"/>
      <c r="F41" s="268"/>
      <c r="G41" s="268"/>
    </row>
    <row r="42" spans="1:8" s="266" customFormat="1" x14ac:dyDescent="0.15">
      <c r="C42" s="271"/>
      <c r="D42" s="267"/>
      <c r="F42" s="268"/>
      <c r="G42" s="268"/>
    </row>
    <row r="43" spans="1:8" s="266" customFormat="1" x14ac:dyDescent="0.15">
      <c r="C43" s="271"/>
      <c r="D43" s="267"/>
      <c r="F43" s="268"/>
      <c r="G43" s="268"/>
    </row>
    <row r="44" spans="1:8" s="266" customFormat="1" x14ac:dyDescent="0.15">
      <c r="C44" s="272"/>
      <c r="D44" s="267"/>
      <c r="F44" s="268"/>
      <c r="G44" s="268"/>
    </row>
    <row r="45" spans="1:8" s="266" customFormat="1" x14ac:dyDescent="0.15">
      <c r="D45" s="267"/>
      <c r="F45" s="268"/>
      <c r="G45" s="268"/>
    </row>
  </sheetData>
  <sheetProtection password="CA9C" sheet="1" objects="1" scenarios="1"/>
  <mergeCells count="18">
    <mergeCell ref="A35:G35"/>
    <mergeCell ref="A36:G36"/>
    <mergeCell ref="A37:G37"/>
    <mergeCell ref="F26:G26"/>
    <mergeCell ref="B6:B7"/>
    <mergeCell ref="A32:E32"/>
    <mergeCell ref="A1:G1"/>
    <mergeCell ref="A2:G2"/>
    <mergeCell ref="A3:G3"/>
    <mergeCell ref="A33:E33"/>
    <mergeCell ref="B25:B26"/>
    <mergeCell ref="A24:E24"/>
    <mergeCell ref="A13:E13"/>
    <mergeCell ref="A19:E19"/>
    <mergeCell ref="A6:A7"/>
    <mergeCell ref="A14:A15"/>
    <mergeCell ref="A4:G4"/>
    <mergeCell ref="A25:A26"/>
  </mergeCells>
  <phoneticPr fontId="6" type="noConversion"/>
  <pageMargins left="0.51" right="0.12000000000000001" top="0" bottom="0" header="0" footer="0"/>
  <pageSetup paperSize="9" orientation="portrait" horizontalDpi="300" verticalDpi="300" r:id="rId1"/>
  <headerFooter>
    <oddFooter>&amp;C&amp;"Calibri,Normal"&amp;8&amp;K000000Løntabel Lilleskolerne og HK Privat&amp;R&amp;"Calibri,Normal"&amp;8&amp;K000000&amp;P af i alt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66"/>
  <sheetViews>
    <sheetView view="pageBreakPreview" zoomScaleNormal="125" zoomScaleSheetLayoutView="100" zoomScalePageLayoutView="125" workbookViewId="0">
      <selection activeCell="G21" sqref="G21"/>
    </sheetView>
  </sheetViews>
  <sheetFormatPr baseColWidth="10" defaultColWidth="8.83203125" defaultRowHeight="13" x14ac:dyDescent="0.15"/>
  <cols>
    <col min="1" max="1" width="9" style="253" customWidth="1"/>
    <col min="2" max="2" width="11.6640625" style="253" customWidth="1"/>
    <col min="3" max="3" width="11.1640625" style="253" customWidth="1"/>
    <col min="4" max="4" width="11.33203125" style="253" customWidth="1"/>
    <col min="5" max="6" width="10.6640625" style="253" customWidth="1"/>
    <col min="7" max="7" width="10.1640625" style="253" customWidth="1"/>
    <col min="8" max="8" width="11.1640625" style="253" customWidth="1"/>
    <col min="9" max="9" width="11.33203125" style="253" customWidth="1"/>
    <col min="10" max="10" width="9.1640625" style="253" customWidth="1"/>
    <col min="11" max="16384" width="8.83203125" style="253"/>
  </cols>
  <sheetData>
    <row r="1" spans="1:16" ht="20" x14ac:dyDescent="0.2">
      <c r="A1" s="1057" t="s">
        <v>20</v>
      </c>
      <c r="B1" s="1058"/>
      <c r="C1" s="1058"/>
      <c r="D1" s="1058"/>
      <c r="E1" s="1058"/>
      <c r="F1" s="1058"/>
      <c r="G1" s="1058"/>
      <c r="H1" s="1058"/>
      <c r="I1" s="1058"/>
      <c r="J1" s="1059"/>
    </row>
    <row r="2" spans="1:16" ht="39" customHeight="1" x14ac:dyDescent="0.2">
      <c r="A2" s="1348" t="s">
        <v>454</v>
      </c>
      <c r="B2" s="1349"/>
      <c r="C2" s="1349"/>
      <c r="D2" s="1349"/>
      <c r="E2" s="1349"/>
      <c r="F2" s="1349"/>
      <c r="G2" s="1349"/>
      <c r="H2" s="1349"/>
      <c r="I2" s="1349"/>
      <c r="J2" s="1350"/>
    </row>
    <row r="3" spans="1:16" ht="20" x14ac:dyDescent="0.2">
      <c r="A3" s="1072" t="str">
        <f>'Forside 1'!A6:I6</f>
        <v>Gældende for perioden: 1. april 2017 til 30. november 2017</v>
      </c>
      <c r="B3" s="1073"/>
      <c r="C3" s="1073"/>
      <c r="D3" s="1073"/>
      <c r="E3" s="1073"/>
      <c r="F3" s="1073"/>
      <c r="G3" s="1073"/>
      <c r="H3" s="1073"/>
      <c r="I3" s="1073"/>
      <c r="J3" s="1074"/>
    </row>
    <row r="4" spans="1:16" ht="17" customHeight="1" x14ac:dyDescent="0.15">
      <c r="A4" s="1385" t="s">
        <v>402</v>
      </c>
      <c r="B4" s="1386"/>
      <c r="C4" s="1386"/>
      <c r="D4" s="1386"/>
      <c r="E4" s="1386"/>
      <c r="F4" s="1386"/>
      <c r="G4" s="1386"/>
      <c r="H4" s="1386"/>
      <c r="I4" s="1386"/>
      <c r="J4" s="1387"/>
    </row>
    <row r="5" spans="1:16" ht="8" customHeight="1" x14ac:dyDescent="0.15">
      <c r="A5" s="1385" t="s">
        <v>421</v>
      </c>
      <c r="B5" s="1386"/>
      <c r="C5" s="1386"/>
      <c r="D5" s="1386"/>
      <c r="E5" s="1386"/>
      <c r="F5" s="1386"/>
      <c r="G5" s="1386"/>
      <c r="H5" s="1386"/>
      <c r="I5" s="1386"/>
      <c r="J5" s="1387"/>
      <c r="L5" s="284"/>
      <c r="M5" s="283"/>
      <c r="N5" s="283"/>
      <c r="O5" s="283"/>
      <c r="P5" s="283"/>
    </row>
    <row r="6" spans="1:16" ht="7" customHeight="1" thickBot="1" x14ac:dyDescent="0.2">
      <c r="A6" s="1388"/>
      <c r="B6" s="1389"/>
      <c r="C6" s="1389"/>
      <c r="D6" s="1389"/>
      <c r="E6" s="1389"/>
      <c r="F6" s="1389"/>
      <c r="G6" s="1389"/>
      <c r="H6" s="1389"/>
      <c r="I6" s="1389"/>
      <c r="J6" s="1390"/>
      <c r="L6" s="284"/>
      <c r="M6" s="283"/>
      <c r="N6" s="283"/>
      <c r="O6" s="283"/>
      <c r="P6" s="283"/>
    </row>
    <row r="7" spans="1:16" s="494" customFormat="1" ht="18" customHeight="1" thickBot="1" x14ac:dyDescent="0.2">
      <c r="A7" s="720"/>
      <c r="B7" s="720"/>
      <c r="C7" s="720"/>
      <c r="D7" s="720"/>
      <c r="E7" s="720"/>
      <c r="F7" s="720"/>
      <c r="G7" s="721"/>
      <c r="H7" s="721"/>
      <c r="I7" s="721"/>
      <c r="J7" s="721"/>
      <c r="L7" s="722"/>
      <c r="M7" s="723"/>
      <c r="N7" s="723"/>
      <c r="O7" s="723"/>
      <c r="P7" s="723"/>
    </row>
    <row r="8" spans="1:16" ht="21" customHeight="1" thickBot="1" x14ac:dyDescent="0.25">
      <c r="A8" s="1354" t="s">
        <v>362</v>
      </c>
      <c r="B8" s="1355"/>
      <c r="C8" s="1355"/>
      <c r="D8" s="1355"/>
      <c r="E8" s="1355"/>
      <c r="F8" s="1356"/>
      <c r="G8" s="1351" t="s">
        <v>187</v>
      </c>
      <c r="H8" s="1352"/>
      <c r="I8" s="1352"/>
      <c r="J8" s="1353"/>
      <c r="L8" s="284"/>
      <c r="M8" s="283"/>
      <c r="N8" s="283"/>
      <c r="O8" s="283"/>
      <c r="P8" s="283"/>
    </row>
    <row r="9" spans="1:16" ht="39" x14ac:dyDescent="0.15">
      <c r="A9" s="545" t="s">
        <v>59</v>
      </c>
      <c r="B9" s="545" t="s">
        <v>78</v>
      </c>
      <c r="C9" s="548" t="s">
        <v>79</v>
      </c>
      <c r="D9" s="545" t="s">
        <v>80</v>
      </c>
      <c r="E9" s="545" t="s">
        <v>81</v>
      </c>
      <c r="F9" s="545" t="s">
        <v>82</v>
      </c>
      <c r="G9" s="549" t="s">
        <v>206</v>
      </c>
      <c r="H9" s="550" t="s">
        <v>209</v>
      </c>
      <c r="I9" s="550" t="s">
        <v>210</v>
      </c>
      <c r="J9" s="551">
        <v>0.14000000000000001</v>
      </c>
    </row>
    <row r="10" spans="1:16" ht="16" customHeight="1" x14ac:dyDescent="0.15">
      <c r="A10" s="336">
        <v>14</v>
      </c>
      <c r="B10" s="865">
        <f>'Statens skalatrin'!D46</f>
        <v>19772.669999999998</v>
      </c>
      <c r="C10" s="865">
        <f>'Statens skalatrin'!F46</f>
        <v>20184.419999999998</v>
      </c>
      <c r="D10" s="865">
        <f>'Statens skalatrin'!H46</f>
        <v>20469.5</v>
      </c>
      <c r="E10" s="865">
        <f>'Statens skalatrin'!J46</f>
        <v>20881.169999999998</v>
      </c>
      <c r="F10" s="865">
        <f>'Statens skalatrin'!L46</f>
        <v>21166.17</v>
      </c>
      <c r="G10" s="1372">
        <f>'Statens skalatrin'!O46</f>
        <v>18486.849999999999</v>
      </c>
      <c r="H10" s="1374">
        <f>J10*1/3</f>
        <v>862.71966666666674</v>
      </c>
      <c r="I10" s="1372">
        <f>J10*2/3</f>
        <v>1725.4393333333335</v>
      </c>
      <c r="J10" s="1372">
        <f>G10*$J$9</f>
        <v>2588.1590000000001</v>
      </c>
    </row>
    <row r="11" spans="1:16" ht="16" customHeight="1" x14ac:dyDescent="0.15">
      <c r="A11" s="453" t="s">
        <v>260</v>
      </c>
      <c r="B11" s="599">
        <f>B10+(F26/12)</f>
        <v>19942.675568499999</v>
      </c>
      <c r="C11" s="599">
        <f>C10+(F26/12)</f>
        <v>20354.425568499999</v>
      </c>
      <c r="D11" s="599">
        <f>D10+(F26/12)</f>
        <v>20639.505568500001</v>
      </c>
      <c r="E11" s="599">
        <f>E10+(F26/12)</f>
        <v>21051.175568499999</v>
      </c>
      <c r="F11" s="599">
        <f>F10+(F26/12)</f>
        <v>21336.175568499999</v>
      </c>
      <c r="G11" s="1373"/>
      <c r="H11" s="1375"/>
      <c r="I11" s="1373"/>
      <c r="J11" s="1373"/>
    </row>
    <row r="12" spans="1:16" ht="16" customHeight="1" x14ac:dyDescent="0.15">
      <c r="A12" s="336">
        <v>17</v>
      </c>
      <c r="B12" s="599">
        <f>'Statens skalatrin'!D55</f>
        <v>20762.5</v>
      </c>
      <c r="C12" s="599">
        <f>'Statens skalatrin'!F55</f>
        <v>21206.33</v>
      </c>
      <c r="D12" s="866">
        <f>'Statens skalatrin'!H55</f>
        <v>21513.58</v>
      </c>
      <c r="E12" s="599">
        <f>'Statens skalatrin'!J55</f>
        <v>21957.33</v>
      </c>
      <c r="F12" s="599">
        <f>'Statens skalatrin'!L55</f>
        <v>22264.42</v>
      </c>
      <c r="G12" s="867">
        <f>'Statens skalatrin'!O55</f>
        <v>19500.169999999998</v>
      </c>
      <c r="H12" s="868">
        <f>J12*1/3</f>
        <v>910.00793333333331</v>
      </c>
      <c r="I12" s="865">
        <f>J12*2/3</f>
        <v>1820.0158666666666</v>
      </c>
      <c r="J12" s="865">
        <f>G12*$J$9</f>
        <v>2730.0237999999999</v>
      </c>
    </row>
    <row r="13" spans="1:16" ht="16" customHeight="1" x14ac:dyDescent="0.15">
      <c r="A13" s="336">
        <v>20</v>
      </c>
      <c r="B13" s="599">
        <f>'Statens skalatrin'!D64</f>
        <v>21722.25</v>
      </c>
      <c r="C13" s="599">
        <f>'Statens skalatrin'!F64</f>
        <v>22200.58</v>
      </c>
      <c r="D13" s="866">
        <f>'Statens skalatrin'!H64</f>
        <v>22531.919999999998</v>
      </c>
      <c r="E13" s="599">
        <f>'Statens skalatrin'!J64</f>
        <v>23010.42</v>
      </c>
      <c r="F13" s="599">
        <f>'Statens skalatrin'!L64</f>
        <v>23341.58</v>
      </c>
      <c r="G13" s="1372">
        <f>'Statens skalatrin'!O64</f>
        <v>20599.57</v>
      </c>
      <c r="H13" s="1374">
        <f>J13*1/3</f>
        <v>961.31326666666666</v>
      </c>
      <c r="I13" s="1372">
        <f>J13*2/3</f>
        <v>1922.6265333333333</v>
      </c>
      <c r="J13" s="1372">
        <f>G13*$J$9</f>
        <v>2883.9398000000001</v>
      </c>
    </row>
    <row r="14" spans="1:16" ht="16" customHeight="1" thickBot="1" x14ac:dyDescent="0.2">
      <c r="A14" s="337" t="s">
        <v>188</v>
      </c>
      <c r="B14" s="600">
        <f>B13+(F27/12)</f>
        <v>21770.376257</v>
      </c>
      <c r="C14" s="600">
        <f>C13+(F27/12)</f>
        <v>22248.706257000002</v>
      </c>
      <c r="D14" s="869">
        <f>D13+(F27/12)</f>
        <v>22580.046256999998</v>
      </c>
      <c r="E14" s="600">
        <f>E13+(F27/12)</f>
        <v>23058.546256999998</v>
      </c>
      <c r="F14" s="600">
        <f>F13+(F27/12)</f>
        <v>23389.706257000002</v>
      </c>
      <c r="G14" s="1376"/>
      <c r="H14" s="1377"/>
      <c r="I14" s="1376"/>
      <c r="J14" s="1376"/>
    </row>
    <row r="15" spans="1:16" ht="17" customHeight="1" x14ac:dyDescent="0.15">
      <c r="A15" s="283"/>
      <c r="B15" s="277"/>
      <c r="C15" s="277"/>
      <c r="D15" s="277"/>
      <c r="E15" s="277"/>
      <c r="F15" s="277"/>
      <c r="G15" s="301"/>
      <c r="H15" s="302"/>
      <c r="I15" s="303"/>
      <c r="J15" s="303"/>
    </row>
    <row r="16" spans="1:16" ht="16" customHeight="1" thickBot="1" x14ac:dyDescent="0.2">
      <c r="A16" s="298"/>
      <c r="B16" s="298"/>
      <c r="C16" s="298"/>
      <c r="D16" s="298"/>
      <c r="E16" s="298"/>
      <c r="F16" s="298"/>
      <c r="G16" s="298"/>
      <c r="H16" s="298"/>
      <c r="I16" s="298"/>
      <c r="J16" s="273"/>
      <c r="L16" s="300"/>
    </row>
    <row r="17" spans="1:12" ht="21" customHeight="1" thickBot="1" x14ac:dyDescent="0.25">
      <c r="A17" s="1351" t="s">
        <v>363</v>
      </c>
      <c r="B17" s="1352"/>
      <c r="C17" s="1352"/>
      <c r="D17" s="1352"/>
      <c r="E17" s="1352"/>
      <c r="F17" s="1353"/>
      <c r="G17" s="283"/>
      <c r="H17" s="283"/>
      <c r="I17" s="283"/>
      <c r="J17" s="273"/>
      <c r="L17" s="300"/>
    </row>
    <row r="18" spans="1:12" ht="16" customHeight="1" thickBot="1" x14ac:dyDescent="0.2">
      <c r="A18" s="1378" t="s">
        <v>190</v>
      </c>
      <c r="B18" s="1379"/>
      <c r="C18" s="1379"/>
      <c r="D18" s="1379"/>
      <c r="E18" s="1379"/>
      <c r="F18" s="1380"/>
      <c r="G18" s="283"/>
      <c r="H18" s="283"/>
      <c r="I18" s="283"/>
      <c r="J18" s="273"/>
      <c r="L18" s="300"/>
    </row>
    <row r="19" spans="1:12" ht="16" customHeight="1" x14ac:dyDescent="0.15">
      <c r="A19" s="545" t="s">
        <v>59</v>
      </c>
      <c r="B19" s="546" t="s">
        <v>78</v>
      </c>
      <c r="C19" s="545" t="s">
        <v>79</v>
      </c>
      <c r="D19" s="546" t="s">
        <v>80</v>
      </c>
      <c r="E19" s="545" t="s">
        <v>81</v>
      </c>
      <c r="F19" s="547" t="s">
        <v>82</v>
      </c>
      <c r="G19" s="283"/>
      <c r="H19" s="283"/>
      <c r="I19" s="283"/>
      <c r="J19" s="273"/>
    </row>
    <row r="20" spans="1:12" ht="16" customHeight="1" thickBot="1" x14ac:dyDescent="0.2">
      <c r="A20" s="341">
        <v>14</v>
      </c>
      <c r="B20" s="862">
        <f>B11*12/1924</f>
        <v>124.3825919033264</v>
      </c>
      <c r="C20" s="863">
        <f>C11*12/1924</f>
        <v>126.95067922141372</v>
      </c>
      <c r="D20" s="862">
        <f>D11*12/1924</f>
        <v>128.72872495945947</v>
      </c>
      <c r="E20" s="863">
        <f>E11*12/1924</f>
        <v>131.2963133170478</v>
      </c>
      <c r="F20" s="864">
        <f>F11*12/1924</f>
        <v>133.07386009459461</v>
      </c>
      <c r="G20" s="283"/>
      <c r="H20" s="282"/>
      <c r="I20" s="282"/>
      <c r="J20" s="273"/>
    </row>
    <row r="21" spans="1:12" ht="15" customHeight="1" x14ac:dyDescent="0.15">
      <c r="A21" s="292"/>
      <c r="B21" s="291"/>
      <c r="C21" s="291"/>
      <c r="D21" s="291"/>
      <c r="E21" s="291"/>
      <c r="F21" s="291"/>
      <c r="G21" s="283"/>
      <c r="H21" s="282"/>
      <c r="I21" s="282"/>
      <c r="J21" s="273"/>
    </row>
    <row r="22" spans="1:12" ht="13" customHeight="1" thickBot="1" x14ac:dyDescent="0.2">
      <c r="A22" s="292"/>
      <c r="B22" s="291"/>
      <c r="C22" s="291"/>
      <c r="D22" s="291"/>
      <c r="E22" s="291"/>
      <c r="F22" s="291"/>
      <c r="G22" s="283"/>
      <c r="H22" s="282"/>
      <c r="I22" s="282"/>
      <c r="J22" s="273"/>
    </row>
    <row r="23" spans="1:12" ht="21" customHeight="1" thickBot="1" x14ac:dyDescent="0.2">
      <c r="A23" s="1007" t="s">
        <v>182</v>
      </c>
      <c r="B23" s="1008"/>
      <c r="C23" s="1008"/>
      <c r="D23" s="1008"/>
      <c r="E23" s="1008"/>
      <c r="F23" s="1009"/>
      <c r="G23" s="245"/>
      <c r="H23" s="245"/>
      <c r="I23" s="245"/>
      <c r="J23" s="273"/>
    </row>
    <row r="24" spans="1:12" ht="27" customHeight="1" x14ac:dyDescent="0.15">
      <c r="A24" s="1383" t="s">
        <v>403</v>
      </c>
      <c r="B24" s="1384"/>
      <c r="C24" s="1384"/>
      <c r="D24" s="1384"/>
      <c r="E24" s="851" t="s">
        <v>141</v>
      </c>
      <c r="F24" s="852" t="s">
        <v>435</v>
      </c>
      <c r="G24" s="294"/>
      <c r="H24" s="283"/>
      <c r="I24" s="283"/>
      <c r="J24" s="273"/>
    </row>
    <row r="25" spans="1:12" ht="15" customHeight="1" x14ac:dyDescent="0.15">
      <c r="A25" s="1328"/>
      <c r="B25" s="1329"/>
      <c r="C25" s="1329"/>
      <c r="D25" s="1329"/>
      <c r="E25" s="724">
        <v>40999</v>
      </c>
      <c r="F25" s="726" t="str">
        <f>'Løntabel gældende fra'!D1</f>
        <v>01/04/17</v>
      </c>
      <c r="G25" s="294"/>
      <c r="H25" s="283"/>
      <c r="I25" s="283"/>
      <c r="J25" s="273"/>
    </row>
    <row r="26" spans="1:12" ht="16" customHeight="1" x14ac:dyDescent="0.15">
      <c r="A26" s="1338" t="s">
        <v>259</v>
      </c>
      <c r="B26" s="1339"/>
      <c r="C26" s="1339"/>
      <c r="D26" s="1381"/>
      <c r="E26" s="680">
        <v>1957</v>
      </c>
      <c r="F26" s="681">
        <f>E26+(E26*'Løntabel gældende fra'!$D$7%)</f>
        <v>2040.066822</v>
      </c>
      <c r="G26" s="294"/>
      <c r="H26" s="283"/>
      <c r="I26" s="283"/>
      <c r="J26" s="273"/>
    </row>
    <row r="27" spans="1:12" ht="16" customHeight="1" thickBot="1" x14ac:dyDescent="0.2">
      <c r="A27" s="1331" t="s">
        <v>202</v>
      </c>
      <c r="B27" s="1332"/>
      <c r="C27" s="1332"/>
      <c r="D27" s="1382"/>
      <c r="E27" s="682">
        <v>554</v>
      </c>
      <c r="F27" s="683">
        <f>E27+(E27*'Løntabel gældende fra'!$D$7%)</f>
        <v>577.515084</v>
      </c>
      <c r="G27" s="294"/>
      <c r="H27" s="283"/>
      <c r="I27" s="283"/>
      <c r="J27" s="273"/>
    </row>
    <row r="28" spans="1:12" ht="15" customHeight="1" x14ac:dyDescent="0.15">
      <c r="A28" s="293"/>
      <c r="B28" s="291"/>
      <c r="C28" s="291"/>
      <c r="D28" s="291"/>
      <c r="E28" s="291"/>
      <c r="F28" s="291"/>
      <c r="G28" s="283"/>
      <c r="H28" s="283"/>
      <c r="I28" s="283"/>
      <c r="J28" s="273"/>
    </row>
    <row r="29" spans="1:12" ht="15" customHeight="1" thickBot="1" x14ac:dyDescent="0.2">
      <c r="A29" s="293"/>
      <c r="B29" s="291"/>
      <c r="C29" s="291"/>
      <c r="D29" s="291"/>
      <c r="E29" s="291"/>
      <c r="F29" s="291"/>
      <c r="G29" s="283"/>
      <c r="H29" s="283"/>
      <c r="I29" s="283"/>
      <c r="J29" s="273"/>
    </row>
    <row r="30" spans="1:12" ht="20" customHeight="1" x14ac:dyDescent="0.15">
      <c r="A30" s="994" t="s">
        <v>191</v>
      </c>
      <c r="B30" s="995"/>
      <c r="C30" s="995"/>
      <c r="D30" s="995"/>
      <c r="E30" s="995"/>
      <c r="F30" s="995"/>
      <c r="G30" s="995"/>
      <c r="H30" s="995"/>
      <c r="I30" s="996"/>
      <c r="J30" s="273"/>
    </row>
    <row r="31" spans="1:12" ht="20" customHeight="1" thickBot="1" x14ac:dyDescent="0.2">
      <c r="A31" s="1102" t="s">
        <v>381</v>
      </c>
      <c r="B31" s="1103"/>
      <c r="C31" s="1103"/>
      <c r="D31" s="1103"/>
      <c r="E31" s="1103"/>
      <c r="F31" s="1103"/>
      <c r="G31" s="1103"/>
      <c r="H31" s="1103"/>
      <c r="I31" s="1104"/>
      <c r="J31" s="273"/>
    </row>
    <row r="32" spans="1:12" ht="27" customHeight="1" thickBot="1" x14ac:dyDescent="0.2">
      <c r="A32" s="1399"/>
      <c r="B32" s="1400"/>
      <c r="C32" s="1400"/>
      <c r="D32" s="1400"/>
      <c r="E32" s="1400"/>
      <c r="F32" s="1400"/>
      <c r="G32" s="1400"/>
      <c r="H32" s="851" t="s">
        <v>436</v>
      </c>
      <c r="I32" s="854" t="s">
        <v>437</v>
      </c>
      <c r="J32" s="273"/>
    </row>
    <row r="33" spans="1:10" ht="15" customHeight="1" thickBot="1" x14ac:dyDescent="0.2">
      <c r="A33" s="1335"/>
      <c r="B33" s="1336"/>
      <c r="C33" s="1336"/>
      <c r="D33" s="1336"/>
      <c r="E33" s="1336"/>
      <c r="F33" s="1336"/>
      <c r="G33" s="1337"/>
      <c r="H33" s="728">
        <v>40999</v>
      </c>
      <c r="I33" s="729" t="str">
        <f>'Løntabel gældende fra'!D1</f>
        <v>01/04/17</v>
      </c>
      <c r="J33" s="273"/>
    </row>
    <row r="34" spans="1:10" ht="15" customHeight="1" x14ac:dyDescent="0.15">
      <c r="A34" s="1338" t="s">
        <v>192</v>
      </c>
      <c r="B34" s="1339"/>
      <c r="C34" s="1339"/>
      <c r="D34" s="1339"/>
      <c r="E34" s="1339"/>
      <c r="F34" s="278"/>
      <c r="G34" s="280" t="s">
        <v>184</v>
      </c>
      <c r="H34" s="343">
        <v>22.32</v>
      </c>
      <c r="I34" s="344">
        <f>H34+(H34*'Løntabel gældende fra'!$D$7%)</f>
        <v>23.267394719999999</v>
      </c>
      <c r="J34" s="273"/>
    </row>
    <row r="35" spans="1:10" ht="15" customHeight="1" x14ac:dyDescent="0.15">
      <c r="A35" s="1346" t="s">
        <v>193</v>
      </c>
      <c r="B35" s="1347"/>
      <c r="C35" s="1347"/>
      <c r="D35" s="1347"/>
      <c r="E35" s="1347"/>
      <c r="F35" s="676"/>
      <c r="G35" s="281" t="s">
        <v>184</v>
      </c>
      <c r="H35" s="345">
        <v>39.92</v>
      </c>
      <c r="I35" s="344">
        <f>H35+(H35*'Løntabel gældende fra'!$D$7%)</f>
        <v>41.614444320000004</v>
      </c>
      <c r="J35" s="273"/>
    </row>
    <row r="36" spans="1:10" ht="26" customHeight="1" x14ac:dyDescent="0.15">
      <c r="A36" s="1338" t="s">
        <v>194</v>
      </c>
      <c r="B36" s="1339"/>
      <c r="C36" s="1339"/>
      <c r="D36" s="1339"/>
      <c r="E36" s="1339"/>
      <c r="F36" s="1339"/>
      <c r="G36" s="281" t="s">
        <v>184</v>
      </c>
      <c r="H36" s="345">
        <v>39.92</v>
      </c>
      <c r="I36" s="344">
        <f>H36+(H36*'Løntabel gældende fra'!$D$7%)</f>
        <v>41.614444320000004</v>
      </c>
      <c r="J36" s="273"/>
    </row>
    <row r="37" spans="1:10" ht="15" customHeight="1" thickBot="1" x14ac:dyDescent="0.2">
      <c r="A37" s="312" t="s">
        <v>183</v>
      </c>
      <c r="B37" s="311"/>
      <c r="C37" s="311"/>
      <c r="D37" s="311"/>
      <c r="E37" s="295"/>
      <c r="F37" s="295"/>
      <c r="G37" s="306" t="s">
        <v>184</v>
      </c>
      <c r="H37" s="347">
        <v>39.92</v>
      </c>
      <c r="I37" s="342">
        <f>H37+(H37*'Løntabel gældende fra'!$D$7%)</f>
        <v>41.614444320000004</v>
      </c>
      <c r="J37" s="273"/>
    </row>
    <row r="38" spans="1:10" ht="15" customHeight="1" x14ac:dyDescent="0.15">
      <c r="A38" s="305"/>
      <c r="B38" s="305"/>
      <c r="C38" s="305"/>
      <c r="D38" s="305"/>
      <c r="E38" s="305"/>
      <c r="F38" s="305"/>
      <c r="G38" s="305"/>
      <c r="H38" s="264"/>
      <c r="I38" s="304"/>
      <c r="J38" s="273"/>
    </row>
    <row r="39" spans="1:10" ht="15" customHeight="1" thickBot="1" x14ac:dyDescent="0.2">
      <c r="A39" s="305"/>
      <c r="B39" s="305"/>
      <c r="C39" s="305"/>
      <c r="D39" s="305"/>
      <c r="E39" s="305"/>
      <c r="F39" s="305"/>
      <c r="G39" s="305"/>
      <c r="H39" s="264"/>
      <c r="I39" s="304"/>
      <c r="J39" s="273"/>
    </row>
    <row r="40" spans="1:10" ht="21" customHeight="1" x14ac:dyDescent="0.15">
      <c r="A40" s="994" t="s">
        <v>404</v>
      </c>
      <c r="B40" s="995"/>
      <c r="C40" s="995"/>
      <c r="D40" s="995"/>
      <c r="E40" s="995"/>
      <c r="F40" s="995"/>
      <c r="G40" s="995"/>
      <c r="H40" s="995"/>
      <c r="I40" s="996"/>
      <c r="J40" s="283"/>
    </row>
    <row r="41" spans="1:10" ht="21" customHeight="1" thickBot="1" x14ac:dyDescent="0.2">
      <c r="A41" s="1102" t="s">
        <v>373</v>
      </c>
      <c r="B41" s="1103"/>
      <c r="C41" s="1103"/>
      <c r="D41" s="1103"/>
      <c r="E41" s="1103"/>
      <c r="F41" s="1103"/>
      <c r="G41" s="1103"/>
      <c r="H41" s="1103"/>
      <c r="I41" s="1104"/>
      <c r="J41" s="283"/>
    </row>
    <row r="42" spans="1:10" ht="27" customHeight="1" thickBot="1" x14ac:dyDescent="0.2">
      <c r="A42" s="1401"/>
      <c r="B42" s="1402"/>
      <c r="C42" s="1402"/>
      <c r="D42" s="1402"/>
      <c r="E42" s="1402"/>
      <c r="F42" s="1402"/>
      <c r="G42" s="1403"/>
      <c r="H42" s="851" t="s">
        <v>436</v>
      </c>
      <c r="I42" s="854" t="s">
        <v>437</v>
      </c>
      <c r="J42" s="283"/>
    </row>
    <row r="43" spans="1:10" ht="15" customHeight="1" thickBot="1" x14ac:dyDescent="0.2">
      <c r="A43" s="1401"/>
      <c r="B43" s="1402"/>
      <c r="C43" s="1402"/>
      <c r="D43" s="1402"/>
      <c r="E43" s="1402"/>
      <c r="F43" s="1402"/>
      <c r="G43" s="1403"/>
      <c r="H43" s="728">
        <v>40999</v>
      </c>
      <c r="I43" s="729" t="str">
        <f>'Løntabel gældende fra'!D1</f>
        <v>01/04/17</v>
      </c>
      <c r="J43" s="283"/>
    </row>
    <row r="44" spans="1:10" ht="15" customHeight="1" thickBot="1" x14ac:dyDescent="0.2">
      <c r="A44" s="1146" t="s">
        <v>196</v>
      </c>
      <c r="B44" s="1147"/>
      <c r="C44" s="1147"/>
      <c r="D44" s="1147"/>
      <c r="E44" s="1147"/>
      <c r="F44" s="730"/>
      <c r="G44" s="731" t="s">
        <v>184</v>
      </c>
      <c r="H44" s="349">
        <v>6.88</v>
      </c>
      <c r="I44" s="342">
        <f>H44+(H44*'Løntabel gældende fra'!D7%)</f>
        <v>7.1720284799999998</v>
      </c>
      <c r="J44" s="283"/>
    </row>
    <row r="45" spans="1:10" ht="15" customHeight="1" x14ac:dyDescent="0.15">
      <c r="A45" s="1397"/>
      <c r="B45" s="1397"/>
      <c r="C45" s="1397"/>
      <c r="D45" s="1397"/>
      <c r="E45" s="1397"/>
      <c r="F45" s="1397"/>
      <c r="G45" s="1397"/>
      <c r="H45" s="1397"/>
      <c r="I45" s="1397"/>
      <c r="J45" s="283"/>
    </row>
    <row r="46" spans="1:10" ht="15" customHeight="1" thickBot="1" x14ac:dyDescent="0.2">
      <c r="A46" s="1398"/>
      <c r="B46" s="1398"/>
      <c r="C46" s="1398"/>
      <c r="D46" s="1398"/>
      <c r="E46" s="1398"/>
      <c r="F46" s="1398"/>
      <c r="G46" s="1398"/>
      <c r="H46" s="1398"/>
      <c r="I46" s="1398"/>
      <c r="J46" s="283"/>
    </row>
    <row r="47" spans="1:10" ht="21" customHeight="1" x14ac:dyDescent="0.15">
      <c r="A47" s="994" t="s">
        <v>197</v>
      </c>
      <c r="B47" s="995"/>
      <c r="C47" s="995"/>
      <c r="D47" s="995"/>
      <c r="E47" s="995"/>
      <c r="F47" s="995"/>
      <c r="G47" s="995"/>
      <c r="H47" s="995"/>
      <c r="I47" s="996"/>
      <c r="J47" s="283"/>
    </row>
    <row r="48" spans="1:10" ht="21" customHeight="1" thickBot="1" x14ac:dyDescent="0.2">
      <c r="A48" s="1102" t="s">
        <v>381</v>
      </c>
      <c r="B48" s="1103"/>
      <c r="C48" s="1103"/>
      <c r="D48" s="1103"/>
      <c r="E48" s="1103"/>
      <c r="F48" s="1103"/>
      <c r="G48" s="1103"/>
      <c r="H48" s="1103"/>
      <c r="I48" s="1104"/>
      <c r="J48" s="283"/>
    </row>
    <row r="49" spans="1:10" ht="30" customHeight="1" x14ac:dyDescent="0.15">
      <c r="A49" s="1391"/>
      <c r="B49" s="1392"/>
      <c r="C49" s="1392"/>
      <c r="D49" s="1392"/>
      <c r="E49" s="1392"/>
      <c r="F49" s="1392"/>
      <c r="G49" s="1393"/>
      <c r="H49" s="851" t="s">
        <v>141</v>
      </c>
      <c r="I49" s="852" t="s">
        <v>435</v>
      </c>
      <c r="J49" s="283"/>
    </row>
    <row r="50" spans="1:10" ht="15" customHeight="1" thickBot="1" x14ac:dyDescent="0.2">
      <c r="A50" s="1394"/>
      <c r="B50" s="1395"/>
      <c r="C50" s="1395"/>
      <c r="D50" s="1395"/>
      <c r="E50" s="1395"/>
      <c r="F50" s="1395"/>
      <c r="G50" s="1396"/>
      <c r="H50" s="728">
        <v>40999</v>
      </c>
      <c r="I50" s="729" t="str">
        <f>'Løntabel gældende fra'!D1</f>
        <v>01/04/17</v>
      </c>
      <c r="J50" s="283"/>
    </row>
    <row r="51" spans="1:10" ht="15" customHeight="1" thickBot="1" x14ac:dyDescent="0.2">
      <c r="A51" s="1146" t="s">
        <v>215</v>
      </c>
      <c r="B51" s="1147"/>
      <c r="C51" s="1147"/>
      <c r="D51" s="1147"/>
      <c r="E51" s="1147"/>
      <c r="F51" s="730"/>
      <c r="G51" s="731"/>
      <c r="H51" s="349">
        <v>655</v>
      </c>
      <c r="I51" s="342">
        <f>H51+(H51*'Løntabel gældende fra'!D7%)</f>
        <v>682.80213000000003</v>
      </c>
      <c r="J51" s="283"/>
    </row>
    <row r="52" spans="1:10" ht="15" customHeight="1" x14ac:dyDescent="0.15">
      <c r="A52" s="273"/>
      <c r="B52" s="273"/>
      <c r="C52" s="273"/>
      <c r="D52" s="273"/>
      <c r="E52" s="273"/>
      <c r="F52" s="274"/>
      <c r="G52" s="273"/>
      <c r="H52" s="274"/>
      <c r="I52" s="273"/>
      <c r="J52" s="283"/>
    </row>
    <row r="53" spans="1:10" ht="15" customHeight="1" thickBot="1" x14ac:dyDescent="0.2">
      <c r="A53" s="273"/>
      <c r="B53" s="273"/>
      <c r="C53" s="273"/>
      <c r="D53" s="273"/>
      <c r="E53" s="273"/>
      <c r="F53" s="274"/>
      <c r="G53" s="273"/>
      <c r="H53" s="274"/>
      <c r="I53" s="273"/>
      <c r="J53" s="283"/>
    </row>
    <row r="54" spans="1:10" ht="21" customHeight="1" x14ac:dyDescent="0.15">
      <c r="A54" s="994" t="s">
        <v>405</v>
      </c>
      <c r="B54" s="995"/>
      <c r="C54" s="995"/>
      <c r="D54" s="995"/>
      <c r="E54" s="995"/>
      <c r="F54" s="995"/>
      <c r="G54" s="995"/>
      <c r="H54" s="995"/>
      <c r="I54" s="996"/>
      <c r="J54" s="283"/>
    </row>
    <row r="55" spans="1:10" ht="21" customHeight="1" thickBot="1" x14ac:dyDescent="0.2">
      <c r="A55" s="1102" t="s">
        <v>373</v>
      </c>
      <c r="B55" s="1103"/>
      <c r="C55" s="1103"/>
      <c r="D55" s="1103"/>
      <c r="E55" s="1103"/>
      <c r="F55" s="1103"/>
      <c r="G55" s="1103"/>
      <c r="H55" s="1103"/>
      <c r="I55" s="1104"/>
      <c r="J55" s="283"/>
    </row>
    <row r="56" spans="1:10" ht="15" customHeight="1" x14ac:dyDescent="0.15">
      <c r="A56" s="1383" t="s">
        <v>200</v>
      </c>
      <c r="B56" s="1384"/>
      <c r="C56" s="1384"/>
      <c r="D56" s="1384"/>
      <c r="E56" s="1384"/>
      <c r="F56" s="1384"/>
      <c r="G56" s="1404"/>
      <c r="H56" s="725" t="s">
        <v>102</v>
      </c>
      <c r="I56" s="727" t="s">
        <v>107</v>
      </c>
      <c r="J56" s="283"/>
    </row>
    <row r="57" spans="1:10" ht="15" customHeight="1" thickBot="1" x14ac:dyDescent="0.2">
      <c r="A57" s="1328"/>
      <c r="B57" s="1329"/>
      <c r="C57" s="1329"/>
      <c r="D57" s="1329"/>
      <c r="E57" s="1329"/>
      <c r="F57" s="1329"/>
      <c r="G57" s="1330"/>
      <c r="H57" s="728">
        <v>40999</v>
      </c>
      <c r="I57" s="729" t="str">
        <f>'Løntabel gældende fra'!D1</f>
        <v>01/04/17</v>
      </c>
      <c r="J57" s="283"/>
    </row>
    <row r="58" spans="1:10" ht="15" customHeight="1" thickBot="1" x14ac:dyDescent="0.2">
      <c r="A58" s="1331" t="s">
        <v>199</v>
      </c>
      <c r="B58" s="1332"/>
      <c r="C58" s="1332"/>
      <c r="D58" s="1332"/>
      <c r="E58" s="1332"/>
      <c r="F58" s="279"/>
      <c r="G58" s="290"/>
      <c r="H58" s="349">
        <v>0</v>
      </c>
      <c r="I58" s="342">
        <v>0</v>
      </c>
      <c r="J58" s="283"/>
    </row>
    <row r="59" spans="1:10" ht="15" customHeight="1" x14ac:dyDescent="0.15">
      <c r="A59" s="273"/>
      <c r="B59" s="273"/>
      <c r="C59" s="273"/>
      <c r="D59" s="273"/>
      <c r="E59" s="273"/>
      <c r="F59" s="274"/>
      <c r="G59" s="273"/>
      <c r="H59" s="274"/>
      <c r="I59" s="273"/>
      <c r="J59" s="283"/>
    </row>
    <row r="60" spans="1:10" ht="15" customHeight="1" thickBot="1" x14ac:dyDescent="0.2">
      <c r="A60" s="273"/>
      <c r="B60" s="273"/>
      <c r="C60" s="273"/>
      <c r="D60" s="273"/>
      <c r="E60" s="273"/>
      <c r="F60" s="274"/>
      <c r="G60" s="273"/>
      <c r="H60" s="274"/>
      <c r="I60" s="273"/>
      <c r="J60" s="283"/>
    </row>
    <row r="61" spans="1:10" s="283" customFormat="1" ht="18" x14ac:dyDescent="0.15">
      <c r="A61" s="994" t="s">
        <v>406</v>
      </c>
      <c r="B61" s="995"/>
      <c r="C61" s="995"/>
      <c r="D61" s="995"/>
      <c r="E61" s="995"/>
      <c r="F61" s="995"/>
      <c r="G61" s="995"/>
      <c r="H61" s="995"/>
      <c r="I61" s="996"/>
    </row>
    <row r="62" spans="1:10" s="283" customFormat="1" ht="17" thickBot="1" x14ac:dyDescent="0.2">
      <c r="A62" s="1102" t="s">
        <v>373</v>
      </c>
      <c r="B62" s="1103"/>
      <c r="C62" s="1103"/>
      <c r="D62" s="1103"/>
      <c r="E62" s="1103"/>
      <c r="F62" s="1103"/>
      <c r="G62" s="1103"/>
      <c r="H62" s="1103"/>
      <c r="I62" s="1104"/>
    </row>
    <row r="63" spans="1:10" s="283" customFormat="1" ht="26" x14ac:dyDescent="0.15">
      <c r="A63" s="1143"/>
      <c r="B63" s="1144"/>
      <c r="C63" s="1144"/>
      <c r="D63" s="1144"/>
      <c r="E63" s="1144"/>
      <c r="F63" s="1144"/>
      <c r="G63" s="1145"/>
      <c r="H63" s="851" t="s">
        <v>141</v>
      </c>
      <c r="I63" s="852" t="s">
        <v>435</v>
      </c>
    </row>
    <row r="64" spans="1:10" s="283" customFormat="1" ht="15" thickBot="1" x14ac:dyDescent="0.2">
      <c r="A64" s="1383"/>
      <c r="B64" s="1384"/>
      <c r="C64" s="1384"/>
      <c r="D64" s="1384"/>
      <c r="E64" s="1384"/>
      <c r="F64" s="1384"/>
      <c r="G64" s="1404"/>
      <c r="H64" s="728">
        <v>40999</v>
      </c>
      <c r="I64" s="729" t="str">
        <f>'Løntabel gældende fra'!D1</f>
        <v>01/04/17</v>
      </c>
    </row>
    <row r="65" spans="1:9" s="283" customFormat="1" ht="15" thickBot="1" x14ac:dyDescent="0.2">
      <c r="A65" s="1146" t="s">
        <v>205</v>
      </c>
      <c r="B65" s="1147"/>
      <c r="C65" s="1147"/>
      <c r="D65" s="1147"/>
      <c r="E65" s="1147"/>
      <c r="F65" s="730"/>
      <c r="G65" s="731"/>
      <c r="H65" s="349">
        <v>10500</v>
      </c>
      <c r="I65" s="350">
        <f>H65+(H65*'Løntabel gældende fra'!D7%)</f>
        <v>10945.683000000001</v>
      </c>
    </row>
    <row r="66" spans="1:9" s="310" customFormat="1" ht="14" x14ac:dyDescent="0.15">
      <c r="A66" s="307"/>
      <c r="B66" s="307"/>
      <c r="C66" s="307"/>
      <c r="D66" s="307"/>
      <c r="E66" s="307"/>
      <c r="F66" s="294"/>
      <c r="G66" s="294"/>
      <c r="H66" s="308"/>
      <c r="I66" s="309"/>
    </row>
  </sheetData>
  <sheetProtection sheet="1" objects="1" scenarios="1"/>
  <mergeCells count="44">
    <mergeCell ref="A65:E65"/>
    <mergeCell ref="A51:E51"/>
    <mergeCell ref="A58:E58"/>
    <mergeCell ref="A40:I40"/>
    <mergeCell ref="A42:G43"/>
    <mergeCell ref="A44:E44"/>
    <mergeCell ref="A61:I61"/>
    <mergeCell ref="A63:G64"/>
    <mergeCell ref="A55:I55"/>
    <mergeCell ref="A62:I62"/>
    <mergeCell ref="A56:G57"/>
    <mergeCell ref="A30:I30"/>
    <mergeCell ref="A36:F36"/>
    <mergeCell ref="A47:I47"/>
    <mergeCell ref="A49:G50"/>
    <mergeCell ref="A54:I54"/>
    <mergeCell ref="A45:I46"/>
    <mergeCell ref="A31:I31"/>
    <mergeCell ref="A41:I41"/>
    <mergeCell ref="A48:I48"/>
    <mergeCell ref="A32:G33"/>
    <mergeCell ref="A34:E34"/>
    <mergeCell ref="A35:E35"/>
    <mergeCell ref="A1:J1"/>
    <mergeCell ref="A2:J2"/>
    <mergeCell ref="A3:J3"/>
    <mergeCell ref="G8:J8"/>
    <mergeCell ref="A8:F8"/>
    <mergeCell ref="A5:J6"/>
    <mergeCell ref="A4:J4"/>
    <mergeCell ref="A18:F18"/>
    <mergeCell ref="A26:D26"/>
    <mergeCell ref="A27:D27"/>
    <mergeCell ref="A17:F17"/>
    <mergeCell ref="A23:F23"/>
    <mergeCell ref="A24:D25"/>
    <mergeCell ref="G10:G11"/>
    <mergeCell ref="H10:H11"/>
    <mergeCell ref="I10:I11"/>
    <mergeCell ref="J10:J11"/>
    <mergeCell ref="G13:G14"/>
    <mergeCell ref="H13:H14"/>
    <mergeCell ref="I13:I14"/>
    <mergeCell ref="J13:J14"/>
  </mergeCells>
  <phoneticPr fontId="6" type="noConversion"/>
  <pageMargins left="0.59" right="0.59" top="0.75" bottom="0.75" header="0.31" footer="0.31"/>
  <pageSetup paperSize="9" scale="79" fitToHeight="2" orientation="portrait" r:id="rId1"/>
  <headerFooter>
    <oddFooter>&amp;C&amp;"Calibri,Normal"&amp;8&amp;K000000Løntabel 3F&amp;R&amp;"Calibri,Normal"&amp;8&amp;K000000&amp;Paf i alt &amp;N</oddFooter>
  </headerFooter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Forside 1</vt:lpstr>
      <vt:lpstr>Lønoversigt mm.</vt:lpstr>
      <vt:lpstr>Lærere og bh kl ledere</vt:lpstr>
      <vt:lpstr>Ledere</vt:lpstr>
      <vt:lpstr>Ark1</vt:lpstr>
      <vt:lpstr>BUPL</vt:lpstr>
      <vt:lpstr>3f (LS_DSSV)</vt:lpstr>
      <vt:lpstr>HK (LS)</vt:lpstr>
      <vt:lpstr>3f (Lilleskolerne, DF, DSSV)</vt:lpstr>
      <vt:lpstr>3F (DPS)</vt:lpstr>
      <vt:lpstr>HK (Lilleskolerne)</vt:lpstr>
      <vt:lpstr>Krifa.</vt:lpstr>
      <vt:lpstr>Generelle satser</vt:lpstr>
      <vt:lpstr>Statens skalatrin</vt:lpstr>
      <vt:lpstr>Løntabel gældende fra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No Laursen</dc:creator>
  <cp:lastModifiedBy>Tove Dohn</cp:lastModifiedBy>
  <cp:lastPrinted>2016-11-29T14:31:45Z</cp:lastPrinted>
  <dcterms:created xsi:type="dcterms:W3CDTF">2014-05-07T09:31:49Z</dcterms:created>
  <dcterms:modified xsi:type="dcterms:W3CDTF">2017-06-22T12:47:35Z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_sAMAccountName">
    <vt:lpwstr>DFPHP</vt:lpwstr>
  </property>
  <property fmtid="{D5CDD505-2E9C-101B-9397-08002B2CF9AE}" pid="3" name="DL_AuthorInitials">
    <vt:lpwstr>DFPHP</vt:lpwstr>
  </property>
  <property fmtid="{D5CDD505-2E9C-101B-9397-08002B2CF9AE}" pid="4" name="fInit">
    <vt:lpwstr>DFPHP</vt:lpwstr>
  </property>
  <property fmtid="{D5CDD505-2E9C-101B-9397-08002B2CF9AE}" pid="5" name="fNavn">
    <vt:lpwstr>Peter Højgaard</vt:lpwstr>
  </property>
</Properties>
</file>