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12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ove/Documents/Løntabeller/2018april/"/>
    </mc:Choice>
  </mc:AlternateContent>
  <bookViews>
    <workbookView xWindow="0" yWindow="0" windowWidth="28800" windowHeight="18000" tabRatio="993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Gymnasieskoler" sheetId="35" r:id="rId5"/>
    <sheet name="BUPL" sheetId="20" r:id="rId6"/>
    <sheet name="3f (LS_DSSV)" sheetId="24" state="hidden" r:id="rId7"/>
    <sheet name="HK (LS)" sheetId="16" state="hidden" r:id="rId8"/>
    <sheet name="3f (Lilleskolerne, DF, DSSV)" sheetId="33" r:id="rId9"/>
    <sheet name="3F (DPS)" sheetId="32" state="hidden" r:id="rId10"/>
    <sheet name="HK (Lilleskolerne)" sheetId="34" r:id="rId11"/>
    <sheet name="Krifa." sheetId="31" state="hidden" r:id="rId12"/>
    <sheet name="Generelle satser" sheetId="11" r:id="rId13"/>
    <sheet name="Statens skalatrin" sheetId="10" r:id="rId14"/>
    <sheet name="Løntabel gældende fra" sheetId="12" state="hidden" r:id="rId15"/>
  </sheets>
  <externalReferences>
    <externalReference r:id="rId16"/>
  </externalReferences>
  <definedNames>
    <definedName name="procentregulering">[1]aarslon!$A$1</definedName>
    <definedName name="_xlnm.Print_Area" localSheetId="8">'3f (Lilleskolerne, DF, DSSV)'!$A$1:$J$58</definedName>
    <definedName name="_xlnm.Print_Area" localSheetId="6">'3f (LS_DSSV)'!$A$1:$J$59</definedName>
    <definedName name="_xlnm.Print_Area" localSheetId="5">BUPL!$A$1:$H$84</definedName>
    <definedName name="_xlnm.Print_Area" localSheetId="0">'Forside 1'!$A$1:$I$29</definedName>
    <definedName name="_xlnm.Print_Area" localSheetId="12">'Generelle satser'!$A$1:$H$83</definedName>
    <definedName name="_xlnm.Print_Area" localSheetId="4">Gymnasieskoler!$A$1:$H$118</definedName>
    <definedName name="_xlnm.Print_Area" localSheetId="10">'HK (Lilleskolerne)'!$A$1:$G$38</definedName>
    <definedName name="_xlnm.Print_Area" localSheetId="7">'HK (LS)'!$A$1:$G$38</definedName>
    <definedName name="_xlnm.Print_Area" localSheetId="11">Krifa.!$A$1:$J$55</definedName>
    <definedName name="_xlnm.Print_Area" localSheetId="3">Ledere!$A$1:$G$96</definedName>
    <definedName name="_xlnm.Print_Area" localSheetId="2">'Lærere og bh kl ledere'!$A$1:$I$157</definedName>
    <definedName name="_xlnm.Print_Area" localSheetId="14">'Løntabel gældende fra'!$A$1:$G$18</definedName>
    <definedName name="_xlnm.Print_Area" localSheetId="13">'Statens skalatrin'!$A$1:$P$158</definedName>
    <definedName name="_xlnm.Print_Titles" localSheetId="8">'3f (Lilleskolerne, DF, DSSV)'!$1:$6</definedName>
    <definedName name="_xlnm.Print_Titles" localSheetId="6">'3f (LS_DSSV)'!$1:$4</definedName>
    <definedName name="_xlnm.Print_Titles" localSheetId="5">BUPL!$1:$3</definedName>
    <definedName name="_xlnm.Print_Titles" localSheetId="12">'Generelle satser'!$1:$1</definedName>
    <definedName name="_xlnm.Print_Titles" localSheetId="4">Gymnasieskoler!$1:$1</definedName>
    <definedName name="_xlnm.Print_Titles" localSheetId="3">Ledere!$1:$4</definedName>
    <definedName name="_xlnm.Print_Titles" localSheetId="2">'Lærere og bh kl ledere'!$1:$3</definedName>
    <definedName name="_xlnm.Print_Titles" localSheetId="13">'Statens skalatrin'!$1:$5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 l="1"/>
  <c r="E13" i="1"/>
  <c r="B131" i="1"/>
  <c r="F131" i="1"/>
  <c r="D12" i="1"/>
  <c r="E12" i="1"/>
  <c r="B130" i="1"/>
  <c r="F130" i="1"/>
  <c r="D11" i="1"/>
  <c r="E11" i="1"/>
  <c r="B129" i="1"/>
  <c r="F129" i="1"/>
  <c r="D10" i="1"/>
  <c r="E10" i="1"/>
  <c r="B128" i="1"/>
  <c r="F128" i="1"/>
  <c r="G13" i="1"/>
  <c r="H13" i="1"/>
  <c r="B104" i="1"/>
  <c r="F104" i="1"/>
  <c r="G12" i="1"/>
  <c r="H12" i="1"/>
  <c r="B103" i="1"/>
  <c r="F103" i="1"/>
  <c r="G11" i="1"/>
  <c r="H11" i="1"/>
  <c r="B102" i="1"/>
  <c r="F102" i="1"/>
  <c r="G10" i="1"/>
  <c r="H10" i="1"/>
  <c r="B101" i="1"/>
  <c r="F101" i="1"/>
  <c r="O45" i="10"/>
  <c r="O46" i="10"/>
  <c r="G9" i="32"/>
  <c r="I9" i="32"/>
  <c r="O54" i="10"/>
  <c r="O55" i="10"/>
  <c r="G10" i="32"/>
  <c r="I10" i="32"/>
  <c r="O63" i="10"/>
  <c r="O64" i="10"/>
  <c r="G11" i="32"/>
  <c r="I11" i="32"/>
  <c r="D12" i="35"/>
  <c r="D11" i="35"/>
  <c r="C117" i="35"/>
  <c r="C116" i="35"/>
  <c r="C109" i="35"/>
  <c r="G102" i="35"/>
  <c r="E102" i="35"/>
  <c r="G101" i="35"/>
  <c r="E101" i="35"/>
  <c r="C93" i="35"/>
  <c r="E84" i="35"/>
  <c r="C76" i="35"/>
  <c r="E69" i="35"/>
  <c r="E68" i="35"/>
  <c r="E67" i="35"/>
  <c r="E66" i="35"/>
  <c r="E65" i="35"/>
  <c r="E64" i="35"/>
  <c r="F57" i="35"/>
  <c r="F56" i="35"/>
  <c r="F55" i="35"/>
  <c r="F54" i="35"/>
  <c r="F53" i="35"/>
  <c r="F48" i="35"/>
  <c r="F47" i="35"/>
  <c r="F46" i="35"/>
  <c r="F45" i="35"/>
  <c r="F44" i="35"/>
  <c r="D35" i="35"/>
  <c r="D34" i="35"/>
  <c r="D33" i="35"/>
  <c r="D32" i="35"/>
  <c r="D31" i="35"/>
  <c r="D30" i="35"/>
  <c r="D29" i="35"/>
  <c r="D15" i="35"/>
  <c r="D14" i="35"/>
  <c r="D13" i="35"/>
  <c r="F46" i="20"/>
  <c r="G87" i="1"/>
  <c r="G86" i="1"/>
  <c r="G83" i="1"/>
  <c r="G82" i="1"/>
  <c r="F80" i="1"/>
  <c r="F82" i="1"/>
  <c r="F83" i="1"/>
  <c r="F84" i="1"/>
  <c r="F86" i="1"/>
  <c r="F87" i="1"/>
  <c r="E98" i="35"/>
  <c r="A74" i="20"/>
  <c r="C92" i="35"/>
  <c r="C115" i="35"/>
  <c r="C108" i="35"/>
  <c r="E83" i="35"/>
  <c r="C75" i="35"/>
  <c r="E63" i="35"/>
  <c r="F52" i="35"/>
  <c r="F43" i="35"/>
  <c r="E28" i="35"/>
  <c r="D28" i="35"/>
  <c r="E10" i="35"/>
  <c r="D10" i="35"/>
  <c r="E11" i="35"/>
  <c r="F11" i="35"/>
  <c r="E12" i="35"/>
  <c r="F12" i="35"/>
  <c r="E13" i="35"/>
  <c r="F13" i="35"/>
  <c r="E14" i="35"/>
  <c r="F14" i="35"/>
  <c r="E15" i="35"/>
  <c r="F15" i="35"/>
  <c r="E29" i="35"/>
  <c r="F29" i="35"/>
  <c r="E30" i="35"/>
  <c r="F30" i="35"/>
  <c r="E31" i="35"/>
  <c r="F31" i="35"/>
  <c r="E32" i="35"/>
  <c r="F32" i="35"/>
  <c r="E33" i="35"/>
  <c r="F33" i="35"/>
  <c r="E34" i="35"/>
  <c r="F34" i="35"/>
  <c r="E35" i="35"/>
  <c r="F35" i="35"/>
  <c r="G44" i="35"/>
  <c r="G45" i="35"/>
  <c r="G46" i="35"/>
  <c r="G47" i="35"/>
  <c r="G48" i="35"/>
  <c r="G53" i="35"/>
  <c r="G54" i="35"/>
  <c r="G55" i="35"/>
  <c r="G56" i="35"/>
  <c r="G57" i="35"/>
  <c r="F64" i="35"/>
  <c r="G64" i="35"/>
  <c r="F65" i="35"/>
  <c r="G65" i="35"/>
  <c r="F66" i="35"/>
  <c r="G66" i="35"/>
  <c r="F67" i="35"/>
  <c r="G67" i="35"/>
  <c r="F68" i="35"/>
  <c r="G68" i="35"/>
  <c r="F69" i="35"/>
  <c r="G69" i="35"/>
  <c r="E76" i="35"/>
  <c r="D109" i="35"/>
  <c r="E109" i="35"/>
  <c r="D116" i="35"/>
  <c r="E116" i="35"/>
  <c r="D117" i="35"/>
  <c r="E117" i="35"/>
  <c r="D93" i="35"/>
  <c r="E93" i="35"/>
  <c r="F87" i="10"/>
  <c r="F88" i="10"/>
  <c r="C22" i="20"/>
  <c r="F54" i="13"/>
  <c r="F53" i="13"/>
  <c r="F52" i="13"/>
  <c r="E40" i="10"/>
  <c r="E41" i="10"/>
  <c r="F39" i="10"/>
  <c r="F40" i="10"/>
  <c r="F41" i="10"/>
  <c r="G40" i="10"/>
  <c r="G41" i="10"/>
  <c r="H39" i="10"/>
  <c r="H40" i="10"/>
  <c r="H41" i="10"/>
  <c r="I40" i="10"/>
  <c r="I41" i="10"/>
  <c r="J39" i="10"/>
  <c r="J40" i="10"/>
  <c r="J41" i="10"/>
  <c r="K40" i="10"/>
  <c r="K41" i="10"/>
  <c r="L39" i="10"/>
  <c r="L40" i="10"/>
  <c r="L41" i="10"/>
  <c r="M41" i="10"/>
  <c r="N41" i="10"/>
  <c r="O39" i="10"/>
  <c r="O40" i="10"/>
  <c r="O41" i="10"/>
  <c r="D39" i="10"/>
  <c r="D40" i="10"/>
  <c r="D41" i="10"/>
  <c r="F71" i="13"/>
  <c r="D71" i="13"/>
  <c r="B73" i="13"/>
  <c r="B74" i="13"/>
  <c r="D74" i="13"/>
  <c r="E74" i="13"/>
  <c r="F74" i="13"/>
  <c r="B75" i="13"/>
  <c r="D75" i="13"/>
  <c r="E75" i="13"/>
  <c r="F75" i="13"/>
  <c r="B76" i="13"/>
  <c r="D76" i="13"/>
  <c r="E76" i="13"/>
  <c r="F76" i="13"/>
  <c r="B77" i="13"/>
  <c r="D77" i="13"/>
  <c r="E77" i="13"/>
  <c r="F77" i="13"/>
  <c r="B78" i="13"/>
  <c r="D78" i="13"/>
  <c r="E78" i="13"/>
  <c r="F78" i="13"/>
  <c r="B79" i="13"/>
  <c r="D79" i="13"/>
  <c r="E79" i="13"/>
  <c r="F79" i="13"/>
  <c r="B80" i="13"/>
  <c r="D80" i="13"/>
  <c r="E80" i="13"/>
  <c r="F80" i="13"/>
  <c r="B81" i="13"/>
  <c r="D81" i="13"/>
  <c r="E81" i="13"/>
  <c r="F81" i="13"/>
  <c r="B82" i="13"/>
  <c r="D82" i="13"/>
  <c r="E82" i="13"/>
  <c r="F82" i="13"/>
  <c r="B83" i="13"/>
  <c r="D83" i="13"/>
  <c r="E83" i="13"/>
  <c r="F83" i="13"/>
  <c r="B84" i="13"/>
  <c r="D84" i="13"/>
  <c r="E84" i="13"/>
  <c r="F84" i="13"/>
  <c r="B85" i="13"/>
  <c r="D85" i="13"/>
  <c r="E85" i="13"/>
  <c r="F85" i="13"/>
  <c r="B86" i="13"/>
  <c r="D86" i="13"/>
  <c r="E86" i="13"/>
  <c r="F86" i="13"/>
  <c r="B87" i="13"/>
  <c r="D87" i="13"/>
  <c r="E87" i="13"/>
  <c r="F87" i="13"/>
  <c r="B88" i="13"/>
  <c r="D88" i="13"/>
  <c r="E88" i="13"/>
  <c r="F88" i="13"/>
  <c r="B89" i="13"/>
  <c r="D89" i="13"/>
  <c r="E89" i="13"/>
  <c r="F89" i="13"/>
  <c r="B90" i="13"/>
  <c r="D90" i="13"/>
  <c r="E90" i="13"/>
  <c r="F90" i="13"/>
  <c r="B91" i="13"/>
  <c r="D91" i="13"/>
  <c r="E91" i="13"/>
  <c r="F91" i="13"/>
  <c r="B92" i="13"/>
  <c r="D92" i="13"/>
  <c r="E92" i="13"/>
  <c r="F92" i="13"/>
  <c r="D73" i="13"/>
  <c r="E73" i="13"/>
  <c r="F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73" i="13"/>
  <c r="A1" i="10"/>
  <c r="E23" i="34"/>
  <c r="D23" i="34"/>
  <c r="C23" i="34"/>
  <c r="E17" i="34"/>
  <c r="D17" i="34"/>
  <c r="C17" i="34"/>
  <c r="F9" i="34"/>
  <c r="E9" i="34"/>
  <c r="D9" i="34"/>
  <c r="A3" i="34"/>
  <c r="I54" i="32"/>
  <c r="I47" i="32"/>
  <c r="I40" i="32"/>
  <c r="I33" i="32"/>
  <c r="I23" i="32"/>
  <c r="A3" i="32"/>
  <c r="A3" i="33"/>
  <c r="A3" i="20"/>
  <c r="E35" i="13"/>
  <c r="E11" i="13"/>
  <c r="E19" i="13"/>
  <c r="E9" i="13"/>
  <c r="A3" i="13"/>
  <c r="F52" i="1"/>
  <c r="D52" i="1"/>
  <c r="A29" i="1"/>
  <c r="A26" i="1"/>
  <c r="A3" i="1"/>
  <c r="G30" i="11"/>
  <c r="H30" i="11"/>
  <c r="G31" i="11"/>
  <c r="H31" i="11"/>
  <c r="G32" i="11"/>
  <c r="H32" i="11"/>
  <c r="G33" i="11"/>
  <c r="H33" i="11"/>
  <c r="G34" i="11"/>
  <c r="H34" i="11"/>
  <c r="H29" i="11"/>
  <c r="F29" i="11"/>
  <c r="E30" i="11"/>
  <c r="F30" i="11"/>
  <c r="E31" i="11"/>
  <c r="F31" i="11"/>
  <c r="E32" i="11"/>
  <c r="F32" i="11"/>
  <c r="E33" i="11"/>
  <c r="F33" i="11"/>
  <c r="E34" i="11"/>
  <c r="F34" i="11"/>
  <c r="G11" i="20"/>
  <c r="H11" i="20"/>
  <c r="O57" i="10"/>
  <c r="O58" i="10"/>
  <c r="G12" i="20"/>
  <c r="H12" i="20"/>
  <c r="O60" i="10"/>
  <c r="O61" i="10"/>
  <c r="G13" i="20"/>
  <c r="H13" i="20"/>
  <c r="G14" i="20"/>
  <c r="H14" i="20"/>
  <c r="O66" i="10"/>
  <c r="O67" i="10"/>
  <c r="G15" i="20"/>
  <c r="H15" i="20"/>
  <c r="O69" i="10"/>
  <c r="O70" i="10"/>
  <c r="G16" i="20"/>
  <c r="H16" i="20"/>
  <c r="O72" i="10"/>
  <c r="O73" i="10"/>
  <c r="G17" i="20"/>
  <c r="H17" i="20"/>
  <c r="O75" i="10"/>
  <c r="O76" i="10"/>
  <c r="G18" i="20"/>
  <c r="H18" i="20"/>
  <c r="O78" i="10"/>
  <c r="O79" i="10"/>
  <c r="G19" i="20"/>
  <c r="H19" i="20"/>
  <c r="O81" i="10"/>
  <c r="O82" i="10"/>
  <c r="G20" i="20"/>
  <c r="H20" i="20"/>
  <c r="O84" i="10"/>
  <c r="O85" i="10"/>
  <c r="G21" i="20"/>
  <c r="H21" i="20"/>
  <c r="O87" i="10"/>
  <c r="O88" i="10"/>
  <c r="G22" i="20"/>
  <c r="H22" i="20"/>
  <c r="O90" i="10"/>
  <c r="O91" i="10"/>
  <c r="G23" i="20"/>
  <c r="H23" i="20"/>
  <c r="O93" i="10"/>
  <c r="O94" i="10"/>
  <c r="G24" i="20"/>
  <c r="H24" i="20"/>
  <c r="O96" i="10"/>
  <c r="O97" i="10"/>
  <c r="G25" i="20"/>
  <c r="H25" i="20"/>
  <c r="O99" i="10"/>
  <c r="O100" i="10"/>
  <c r="G26" i="20"/>
  <c r="H26" i="20"/>
  <c r="O102" i="10"/>
  <c r="O103" i="10"/>
  <c r="G27" i="20"/>
  <c r="H27" i="20"/>
  <c r="O105" i="10"/>
  <c r="O106" i="10"/>
  <c r="G28" i="20"/>
  <c r="H28" i="20"/>
  <c r="O108" i="10"/>
  <c r="O109" i="10"/>
  <c r="G29" i="20"/>
  <c r="H29" i="20"/>
  <c r="O111" i="10"/>
  <c r="O112" i="10"/>
  <c r="G30" i="20"/>
  <c r="H30" i="20"/>
  <c r="O114" i="10"/>
  <c r="O115" i="10"/>
  <c r="G31" i="20"/>
  <c r="H31" i="20"/>
  <c r="O117" i="10"/>
  <c r="O118" i="10"/>
  <c r="G32" i="20"/>
  <c r="H32" i="20"/>
  <c r="O51" i="10"/>
  <c r="O52" i="10"/>
  <c r="G10" i="20"/>
  <c r="H10" i="20"/>
  <c r="O48" i="10"/>
  <c r="O49" i="10"/>
  <c r="G9" i="20"/>
  <c r="H9" i="20"/>
  <c r="G8" i="20"/>
  <c r="H8" i="20"/>
  <c r="I48" i="32"/>
  <c r="I41" i="32"/>
  <c r="I34" i="32"/>
  <c r="I25" i="32"/>
  <c r="I26" i="32"/>
  <c r="I27" i="32"/>
  <c r="I24" i="32"/>
  <c r="B24" i="34"/>
  <c r="C24" i="34"/>
  <c r="B19" i="34"/>
  <c r="C19" i="34"/>
  <c r="B18" i="34"/>
  <c r="C18" i="34"/>
  <c r="C11" i="34"/>
  <c r="D11" i="34"/>
  <c r="C12" i="34"/>
  <c r="D12" i="34"/>
  <c r="C13" i="34"/>
  <c r="D13" i="34"/>
  <c r="C10" i="34"/>
  <c r="D10" i="34"/>
  <c r="I40" i="33"/>
  <c r="F25" i="33"/>
  <c r="F24" i="33"/>
  <c r="I32" i="33"/>
  <c r="I33" i="33"/>
  <c r="I34" i="33"/>
  <c r="I31" i="33"/>
  <c r="I46" i="33"/>
  <c r="I58" i="33"/>
  <c r="D24" i="34"/>
  <c r="E24" i="34"/>
  <c r="D19" i="34"/>
  <c r="E19" i="34"/>
  <c r="D18" i="34"/>
  <c r="E18" i="34"/>
  <c r="E10" i="34"/>
  <c r="F10" i="34"/>
  <c r="E11" i="34"/>
  <c r="F11" i="34"/>
  <c r="E12" i="34"/>
  <c r="F12" i="34"/>
  <c r="E13" i="34"/>
  <c r="F13" i="34"/>
  <c r="B29" i="34"/>
  <c r="E29" i="34"/>
  <c r="C29" i="34"/>
  <c r="D29" i="34"/>
  <c r="B30" i="34"/>
  <c r="E30" i="34"/>
  <c r="C30" i="34"/>
  <c r="D30" i="34"/>
  <c r="B31" i="34"/>
  <c r="E31" i="34"/>
  <c r="C31" i="34"/>
  <c r="D31" i="34"/>
  <c r="B32" i="34"/>
  <c r="E32" i="34"/>
  <c r="C32" i="34"/>
  <c r="D32" i="34"/>
  <c r="D57" i="10"/>
  <c r="D58" i="10"/>
  <c r="B12" i="20"/>
  <c r="D60" i="10"/>
  <c r="D61" i="10"/>
  <c r="B13" i="20"/>
  <c r="D54" i="10"/>
  <c r="D55" i="10"/>
  <c r="B11" i="20"/>
  <c r="D51" i="10"/>
  <c r="D52" i="10"/>
  <c r="B10" i="20"/>
  <c r="I57" i="33"/>
  <c r="I51" i="33"/>
  <c r="I45" i="33"/>
  <c r="I39" i="33"/>
  <c r="I30" i="33"/>
  <c r="F23" i="33"/>
  <c r="J45" i="10"/>
  <c r="J46" i="10"/>
  <c r="E9" i="32"/>
  <c r="E17" i="32"/>
  <c r="L45" i="10"/>
  <c r="L46" i="10"/>
  <c r="F9" i="32"/>
  <c r="F17" i="32"/>
  <c r="L63" i="10"/>
  <c r="L64" i="10"/>
  <c r="F11" i="32"/>
  <c r="J63" i="10"/>
  <c r="J64" i="10"/>
  <c r="E11" i="32"/>
  <c r="H63" i="10"/>
  <c r="H64" i="10"/>
  <c r="D11" i="32"/>
  <c r="F63" i="10"/>
  <c r="F64" i="10"/>
  <c r="C11" i="32"/>
  <c r="D63" i="10"/>
  <c r="D64" i="10"/>
  <c r="B11" i="32"/>
  <c r="H45" i="10"/>
  <c r="H46" i="10"/>
  <c r="D9" i="32"/>
  <c r="F45" i="10"/>
  <c r="F46" i="10"/>
  <c r="C9" i="32"/>
  <c r="D45" i="10"/>
  <c r="D46" i="10"/>
  <c r="B9" i="32"/>
  <c r="L54" i="10"/>
  <c r="L55" i="10"/>
  <c r="F10" i="32"/>
  <c r="J54" i="10"/>
  <c r="J55" i="10"/>
  <c r="E10" i="32"/>
  <c r="H54" i="10"/>
  <c r="H55" i="10"/>
  <c r="D10" i="32"/>
  <c r="F54" i="10"/>
  <c r="F55" i="10"/>
  <c r="C10" i="32"/>
  <c r="B10" i="32"/>
  <c r="F13" i="33"/>
  <c r="F14" i="33"/>
  <c r="E13" i="33"/>
  <c r="E14" i="33"/>
  <c r="C13" i="33"/>
  <c r="C14" i="33"/>
  <c r="D13" i="33"/>
  <c r="D14" i="33"/>
  <c r="G13" i="33"/>
  <c r="G12" i="33"/>
  <c r="J12" i="33"/>
  <c r="C12" i="33"/>
  <c r="D12" i="33"/>
  <c r="E12" i="33"/>
  <c r="F12" i="33"/>
  <c r="F10" i="33"/>
  <c r="F11" i="33"/>
  <c r="E10" i="33"/>
  <c r="E11" i="33"/>
  <c r="D10" i="33"/>
  <c r="D11" i="33"/>
  <c r="C10" i="33"/>
  <c r="C11" i="33"/>
  <c r="B10" i="33"/>
  <c r="B11" i="33"/>
  <c r="C19" i="33"/>
  <c r="G10" i="33"/>
  <c r="J10" i="33"/>
  <c r="B13" i="33"/>
  <c r="B14" i="33"/>
  <c r="B12" i="33"/>
  <c r="E19" i="33"/>
  <c r="F19" i="33"/>
  <c r="J13" i="33"/>
  <c r="H13" i="33"/>
  <c r="B19" i="33"/>
  <c r="I13" i="33"/>
  <c r="H12" i="33"/>
  <c r="I12" i="33"/>
  <c r="I10" i="33"/>
  <c r="H10" i="33"/>
  <c r="D19" i="33"/>
  <c r="B17" i="32"/>
  <c r="D17" i="32"/>
  <c r="C17" i="32"/>
  <c r="F45" i="20"/>
  <c r="H66" i="20"/>
  <c r="H65" i="20"/>
  <c r="H64" i="20"/>
  <c r="H63" i="20"/>
  <c r="H62" i="20"/>
  <c r="H61" i="20"/>
  <c r="H59" i="20"/>
  <c r="H58" i="20"/>
  <c r="H53" i="20"/>
  <c r="H52" i="20"/>
  <c r="H51" i="20"/>
  <c r="H46" i="20"/>
  <c r="G46" i="20"/>
  <c r="H45" i="20"/>
  <c r="F83" i="20"/>
  <c r="F82" i="20"/>
  <c r="O156" i="10"/>
  <c r="O157" i="10"/>
  <c r="O158" i="10"/>
  <c r="N158" i="10"/>
  <c r="M158" i="10"/>
  <c r="L156" i="10"/>
  <c r="L157" i="10"/>
  <c r="L158" i="10"/>
  <c r="K157" i="10"/>
  <c r="K158" i="10"/>
  <c r="J156" i="10"/>
  <c r="J157" i="10"/>
  <c r="J158" i="10"/>
  <c r="I157" i="10"/>
  <c r="I158" i="10"/>
  <c r="H156" i="10"/>
  <c r="H157" i="10"/>
  <c r="H158" i="10"/>
  <c r="G157" i="10"/>
  <c r="G158" i="10"/>
  <c r="F156" i="10"/>
  <c r="F157" i="10"/>
  <c r="F158" i="10"/>
  <c r="D156" i="10"/>
  <c r="D157" i="10"/>
  <c r="D158" i="10"/>
  <c r="O153" i="10"/>
  <c r="O154" i="10"/>
  <c r="O155" i="10"/>
  <c r="N155" i="10"/>
  <c r="M155" i="10"/>
  <c r="L153" i="10"/>
  <c r="L154" i="10"/>
  <c r="L155" i="10"/>
  <c r="K154" i="10"/>
  <c r="K155" i="10"/>
  <c r="J153" i="10"/>
  <c r="J154" i="10"/>
  <c r="J155" i="10"/>
  <c r="I154" i="10"/>
  <c r="I155" i="10"/>
  <c r="H153" i="10"/>
  <c r="H154" i="10"/>
  <c r="H155" i="10"/>
  <c r="G154" i="10"/>
  <c r="G155" i="10"/>
  <c r="F153" i="10"/>
  <c r="F154" i="10"/>
  <c r="F155" i="10"/>
  <c r="D153" i="10"/>
  <c r="D154" i="10"/>
  <c r="D155" i="10"/>
  <c r="O150" i="10"/>
  <c r="O151" i="10"/>
  <c r="O152" i="10"/>
  <c r="N152" i="10"/>
  <c r="M152" i="10"/>
  <c r="L150" i="10"/>
  <c r="L151" i="10"/>
  <c r="L152" i="10"/>
  <c r="K151" i="10"/>
  <c r="K152" i="10"/>
  <c r="J150" i="10"/>
  <c r="J151" i="10"/>
  <c r="J152" i="10"/>
  <c r="I151" i="10"/>
  <c r="I152" i="10"/>
  <c r="H150" i="10"/>
  <c r="H151" i="10"/>
  <c r="H152" i="10"/>
  <c r="G151" i="10"/>
  <c r="G152" i="10"/>
  <c r="F150" i="10"/>
  <c r="F151" i="10"/>
  <c r="F152" i="10"/>
  <c r="D150" i="10"/>
  <c r="D151" i="10"/>
  <c r="D152" i="10"/>
  <c r="O147" i="10"/>
  <c r="O148" i="10"/>
  <c r="G39" i="20"/>
  <c r="N149" i="10"/>
  <c r="M149" i="10"/>
  <c r="L147" i="10"/>
  <c r="L148" i="10"/>
  <c r="K148" i="10"/>
  <c r="K149" i="10"/>
  <c r="J147" i="10"/>
  <c r="J148" i="10"/>
  <c r="I148" i="10"/>
  <c r="I149" i="10"/>
  <c r="H147" i="10"/>
  <c r="H148" i="10"/>
  <c r="G148" i="10"/>
  <c r="G149" i="10"/>
  <c r="F147" i="10"/>
  <c r="F148" i="10"/>
  <c r="D147" i="10"/>
  <c r="D148" i="10"/>
  <c r="B39" i="20"/>
  <c r="O144" i="10"/>
  <c r="O145" i="10"/>
  <c r="N146" i="10"/>
  <c r="M146" i="10"/>
  <c r="L144" i="10"/>
  <c r="L145" i="10"/>
  <c r="K145" i="10"/>
  <c r="K146" i="10"/>
  <c r="J144" i="10"/>
  <c r="J145" i="10"/>
  <c r="J146" i="10"/>
  <c r="I145" i="10"/>
  <c r="I146" i="10"/>
  <c r="H144" i="10"/>
  <c r="H145" i="10"/>
  <c r="H146" i="10"/>
  <c r="G145" i="10"/>
  <c r="G146" i="10"/>
  <c r="F144" i="10"/>
  <c r="F145" i="10"/>
  <c r="F146" i="10"/>
  <c r="D144" i="10"/>
  <c r="D145" i="10"/>
  <c r="D146" i="10"/>
  <c r="O141" i="10"/>
  <c r="O142" i="10"/>
  <c r="O143" i="10"/>
  <c r="N143" i="10"/>
  <c r="M143" i="10"/>
  <c r="L141" i="10"/>
  <c r="L142" i="10"/>
  <c r="L143" i="10"/>
  <c r="K142" i="10"/>
  <c r="K143" i="10"/>
  <c r="J141" i="10"/>
  <c r="J142" i="10"/>
  <c r="J143" i="10"/>
  <c r="I142" i="10"/>
  <c r="I143" i="10"/>
  <c r="H141" i="10"/>
  <c r="H142" i="10"/>
  <c r="H143" i="10"/>
  <c r="G142" i="10"/>
  <c r="G143" i="10"/>
  <c r="F141" i="10"/>
  <c r="F142" i="10"/>
  <c r="F143" i="10"/>
  <c r="D141" i="10"/>
  <c r="D142" i="10"/>
  <c r="D143" i="10"/>
  <c r="O138" i="10"/>
  <c r="O139" i="10"/>
  <c r="O140" i="10"/>
  <c r="N140" i="10"/>
  <c r="M140" i="10"/>
  <c r="L138" i="10"/>
  <c r="L139" i="10"/>
  <c r="L140" i="10"/>
  <c r="K139" i="10"/>
  <c r="K140" i="10"/>
  <c r="J138" i="10"/>
  <c r="J139" i="10"/>
  <c r="J140" i="10"/>
  <c r="I139" i="10"/>
  <c r="I140" i="10"/>
  <c r="H138" i="10"/>
  <c r="H139" i="10"/>
  <c r="H140" i="10"/>
  <c r="G139" i="10"/>
  <c r="G140" i="10"/>
  <c r="F138" i="10"/>
  <c r="F139" i="10"/>
  <c r="F140" i="10"/>
  <c r="D138" i="10"/>
  <c r="D139" i="10"/>
  <c r="D140" i="10"/>
  <c r="O135" i="10"/>
  <c r="O136" i="10"/>
  <c r="N137" i="10"/>
  <c r="M137" i="10"/>
  <c r="L135" i="10"/>
  <c r="L136" i="10"/>
  <c r="K136" i="10"/>
  <c r="K137" i="10"/>
  <c r="J135" i="10"/>
  <c r="J136" i="10"/>
  <c r="I136" i="10"/>
  <c r="I137" i="10"/>
  <c r="H135" i="10"/>
  <c r="H136" i="10"/>
  <c r="G136" i="10"/>
  <c r="G137" i="10"/>
  <c r="F135" i="10"/>
  <c r="F136" i="10"/>
  <c r="D135" i="10"/>
  <c r="D136" i="10"/>
  <c r="O132" i="10"/>
  <c r="O133" i="10"/>
  <c r="O134" i="10"/>
  <c r="N134" i="10"/>
  <c r="M134" i="10"/>
  <c r="L132" i="10"/>
  <c r="L133" i="10"/>
  <c r="K133" i="10"/>
  <c r="K134" i="10"/>
  <c r="J132" i="10"/>
  <c r="J133" i="10"/>
  <c r="J134" i="10"/>
  <c r="I133" i="10"/>
  <c r="I134" i="10"/>
  <c r="H132" i="10"/>
  <c r="H133" i="10"/>
  <c r="H134" i="10"/>
  <c r="G133" i="10"/>
  <c r="G134" i="10"/>
  <c r="F132" i="10"/>
  <c r="F133" i="10"/>
  <c r="F134" i="10"/>
  <c r="D132" i="10"/>
  <c r="D133" i="10"/>
  <c r="D134" i="10"/>
  <c r="O129" i="10"/>
  <c r="O130" i="10"/>
  <c r="N131" i="10"/>
  <c r="M131" i="10"/>
  <c r="L129" i="10"/>
  <c r="L130" i="10"/>
  <c r="F37" i="20"/>
  <c r="K130" i="10"/>
  <c r="K131" i="10"/>
  <c r="J129" i="10"/>
  <c r="J130" i="10"/>
  <c r="I130" i="10"/>
  <c r="I131" i="10"/>
  <c r="H129" i="10"/>
  <c r="H130" i="10"/>
  <c r="G130" i="10"/>
  <c r="G131" i="10"/>
  <c r="F129" i="10"/>
  <c r="F130" i="10"/>
  <c r="D129" i="10"/>
  <c r="D130" i="10"/>
  <c r="O126" i="10"/>
  <c r="O127" i="10"/>
  <c r="O128" i="10"/>
  <c r="N128" i="10"/>
  <c r="M128" i="10"/>
  <c r="L126" i="10"/>
  <c r="L127" i="10"/>
  <c r="L128" i="10"/>
  <c r="K127" i="10"/>
  <c r="K128" i="10"/>
  <c r="J126" i="10"/>
  <c r="J127" i="10"/>
  <c r="J128" i="10"/>
  <c r="I127" i="10"/>
  <c r="I128" i="10"/>
  <c r="H126" i="10"/>
  <c r="H127" i="10"/>
  <c r="H128" i="10"/>
  <c r="G127" i="10"/>
  <c r="G128" i="10"/>
  <c r="F126" i="10"/>
  <c r="F127" i="10"/>
  <c r="F128" i="10"/>
  <c r="D126" i="10"/>
  <c r="D127" i="10"/>
  <c r="O123" i="10"/>
  <c r="O124" i="10"/>
  <c r="G36" i="20"/>
  <c r="H36" i="20"/>
  <c r="N125" i="10"/>
  <c r="M125" i="10"/>
  <c r="L123" i="10"/>
  <c r="L124" i="10"/>
  <c r="K124" i="10"/>
  <c r="K125" i="10"/>
  <c r="J123" i="10"/>
  <c r="J124" i="10"/>
  <c r="I124" i="10"/>
  <c r="I125" i="10"/>
  <c r="H123" i="10"/>
  <c r="H124" i="10"/>
  <c r="G124" i="10"/>
  <c r="G125" i="10"/>
  <c r="F123" i="10"/>
  <c r="F124" i="10"/>
  <c r="D123" i="10"/>
  <c r="D124" i="10"/>
  <c r="O120" i="10"/>
  <c r="O121" i="10"/>
  <c r="O122" i="10"/>
  <c r="N122" i="10"/>
  <c r="M122" i="10"/>
  <c r="L120" i="10"/>
  <c r="L121" i="10"/>
  <c r="L122" i="10"/>
  <c r="K121" i="10"/>
  <c r="K122" i="10"/>
  <c r="J120" i="10"/>
  <c r="J121" i="10"/>
  <c r="J122" i="10"/>
  <c r="I121" i="10"/>
  <c r="I122" i="10"/>
  <c r="H120" i="10"/>
  <c r="H121" i="10"/>
  <c r="H122" i="10"/>
  <c r="G121" i="10"/>
  <c r="G122" i="10"/>
  <c r="F120" i="10"/>
  <c r="F121" i="10"/>
  <c r="D120" i="10"/>
  <c r="D121" i="10"/>
  <c r="D122" i="10"/>
  <c r="O119" i="10"/>
  <c r="N119" i="10"/>
  <c r="M119" i="10"/>
  <c r="L117" i="10"/>
  <c r="L118" i="10"/>
  <c r="L119" i="10"/>
  <c r="K118" i="10"/>
  <c r="K119" i="10"/>
  <c r="J117" i="10"/>
  <c r="J118" i="10"/>
  <c r="J119" i="10"/>
  <c r="I118" i="10"/>
  <c r="I119" i="10"/>
  <c r="H117" i="10"/>
  <c r="H118" i="10"/>
  <c r="G118" i="10"/>
  <c r="G119" i="10"/>
  <c r="F117" i="10"/>
  <c r="F118" i="10"/>
  <c r="F119" i="10"/>
  <c r="D117" i="10"/>
  <c r="D118" i="10"/>
  <c r="N116" i="10"/>
  <c r="M116" i="10"/>
  <c r="L114" i="10"/>
  <c r="L115" i="10"/>
  <c r="L116" i="10"/>
  <c r="K115" i="10"/>
  <c r="K116" i="10"/>
  <c r="J114" i="10"/>
  <c r="J115" i="10"/>
  <c r="J116" i="10"/>
  <c r="I115" i="10"/>
  <c r="I116" i="10"/>
  <c r="H114" i="10"/>
  <c r="H115" i="10"/>
  <c r="G115" i="10"/>
  <c r="G116" i="10"/>
  <c r="F114" i="10"/>
  <c r="F115" i="10"/>
  <c r="D114" i="10"/>
  <c r="D115" i="10"/>
  <c r="O113" i="10"/>
  <c r="N113" i="10"/>
  <c r="M113" i="10"/>
  <c r="L111" i="10"/>
  <c r="L112" i="10"/>
  <c r="L113" i="10"/>
  <c r="K112" i="10"/>
  <c r="K113" i="10"/>
  <c r="J111" i="10"/>
  <c r="J112" i="10"/>
  <c r="I112" i="10"/>
  <c r="I113" i="10"/>
  <c r="H111" i="10"/>
  <c r="H112" i="10"/>
  <c r="H113" i="10"/>
  <c r="G112" i="10"/>
  <c r="G113" i="10"/>
  <c r="F111" i="10"/>
  <c r="F112" i="10"/>
  <c r="F113" i="10"/>
  <c r="D111" i="10"/>
  <c r="D112" i="10"/>
  <c r="O110" i="10"/>
  <c r="N110" i="10"/>
  <c r="M110" i="10"/>
  <c r="L108" i="10"/>
  <c r="L109" i="10"/>
  <c r="L110" i="10"/>
  <c r="K109" i="10"/>
  <c r="K110" i="10"/>
  <c r="J108" i="10"/>
  <c r="J109" i="10"/>
  <c r="I109" i="10"/>
  <c r="I110" i="10"/>
  <c r="H108" i="10"/>
  <c r="H109" i="10"/>
  <c r="H110" i="10"/>
  <c r="G109" i="10"/>
  <c r="G110" i="10"/>
  <c r="F108" i="10"/>
  <c r="F109" i="10"/>
  <c r="F110" i="10"/>
  <c r="D108" i="10"/>
  <c r="D109" i="10"/>
  <c r="B29" i="20"/>
  <c r="D110" i="10"/>
  <c r="O107" i="10"/>
  <c r="N107" i="10"/>
  <c r="M107" i="10"/>
  <c r="L105" i="10"/>
  <c r="L106" i="10"/>
  <c r="L107" i="10"/>
  <c r="K106" i="10"/>
  <c r="K107" i="10"/>
  <c r="J105" i="10"/>
  <c r="J106" i="10"/>
  <c r="J107" i="10"/>
  <c r="I106" i="10"/>
  <c r="I107" i="10"/>
  <c r="H105" i="10"/>
  <c r="H106" i="10"/>
  <c r="H107" i="10"/>
  <c r="G106" i="10"/>
  <c r="G107" i="10"/>
  <c r="F105" i="10"/>
  <c r="F106" i="10"/>
  <c r="F107" i="10"/>
  <c r="D105" i="10"/>
  <c r="D106" i="10"/>
  <c r="O104" i="10"/>
  <c r="N104" i="10"/>
  <c r="M104" i="10"/>
  <c r="L102" i="10"/>
  <c r="L103" i="10"/>
  <c r="L104" i="10"/>
  <c r="K103" i="10"/>
  <c r="K104" i="10"/>
  <c r="J102" i="10"/>
  <c r="J103" i="10"/>
  <c r="J104" i="10"/>
  <c r="I103" i="10"/>
  <c r="I104" i="10"/>
  <c r="H102" i="10"/>
  <c r="H103" i="10"/>
  <c r="H104" i="10"/>
  <c r="G103" i="10"/>
  <c r="G104" i="10"/>
  <c r="F102" i="10"/>
  <c r="F103" i="10"/>
  <c r="F104" i="10"/>
  <c r="D102" i="10"/>
  <c r="D103" i="10"/>
  <c r="O101" i="10"/>
  <c r="N101" i="10"/>
  <c r="M101" i="10"/>
  <c r="L99" i="10"/>
  <c r="L100" i="10"/>
  <c r="L101" i="10"/>
  <c r="K100" i="10"/>
  <c r="K101" i="10"/>
  <c r="J99" i="10"/>
  <c r="J100" i="10"/>
  <c r="J101" i="10"/>
  <c r="I100" i="10"/>
  <c r="I101" i="10"/>
  <c r="H99" i="10"/>
  <c r="H100" i="10"/>
  <c r="H101" i="10"/>
  <c r="G100" i="10"/>
  <c r="G101" i="10"/>
  <c r="F99" i="10"/>
  <c r="F100" i="10"/>
  <c r="F101" i="10"/>
  <c r="D99" i="10"/>
  <c r="D100" i="10"/>
  <c r="N98" i="10"/>
  <c r="M98" i="10"/>
  <c r="L96" i="10"/>
  <c r="L97" i="10"/>
  <c r="L98" i="10"/>
  <c r="K97" i="10"/>
  <c r="K98" i="10"/>
  <c r="J96" i="10"/>
  <c r="J97" i="10"/>
  <c r="I97" i="10"/>
  <c r="I98" i="10"/>
  <c r="H96" i="10"/>
  <c r="H97" i="10"/>
  <c r="H98" i="10"/>
  <c r="G97" i="10"/>
  <c r="G98" i="10"/>
  <c r="F96" i="10"/>
  <c r="F97" i="10"/>
  <c r="F98" i="10"/>
  <c r="D96" i="10"/>
  <c r="D97" i="10"/>
  <c r="O95" i="10"/>
  <c r="N95" i="10"/>
  <c r="M95" i="10"/>
  <c r="L93" i="10"/>
  <c r="L94" i="10"/>
  <c r="L95" i="10"/>
  <c r="K94" i="10"/>
  <c r="K95" i="10"/>
  <c r="J93" i="10"/>
  <c r="J94" i="10"/>
  <c r="J95" i="10"/>
  <c r="I94" i="10"/>
  <c r="I95" i="10"/>
  <c r="H93" i="10"/>
  <c r="H94" i="10"/>
  <c r="H95" i="10"/>
  <c r="G94" i="10"/>
  <c r="G95" i="10"/>
  <c r="F93" i="10"/>
  <c r="F94" i="10"/>
  <c r="F95" i="10"/>
  <c r="D93" i="10"/>
  <c r="D94" i="10"/>
  <c r="O92" i="10"/>
  <c r="N92" i="10"/>
  <c r="M92" i="10"/>
  <c r="L90" i="10"/>
  <c r="L91" i="10"/>
  <c r="K91" i="10"/>
  <c r="K92" i="10"/>
  <c r="J90" i="10"/>
  <c r="J91" i="10"/>
  <c r="J92" i="10"/>
  <c r="I91" i="10"/>
  <c r="I92" i="10"/>
  <c r="H90" i="10"/>
  <c r="H91" i="10"/>
  <c r="G91" i="10"/>
  <c r="G92" i="10"/>
  <c r="F90" i="10"/>
  <c r="F91" i="10"/>
  <c r="F92" i="10"/>
  <c r="D90" i="10"/>
  <c r="D91" i="10"/>
  <c r="O89" i="10"/>
  <c r="N89" i="10"/>
  <c r="M89" i="10"/>
  <c r="L87" i="10"/>
  <c r="L88" i="10"/>
  <c r="L89" i="10"/>
  <c r="K88" i="10"/>
  <c r="K89" i="10"/>
  <c r="J87" i="10"/>
  <c r="J88" i="10"/>
  <c r="I88" i="10"/>
  <c r="I89" i="10"/>
  <c r="H87" i="10"/>
  <c r="H88" i="10"/>
  <c r="D22" i="20"/>
  <c r="G88" i="10"/>
  <c r="G89" i="10"/>
  <c r="F89" i="10"/>
  <c r="E88" i="10"/>
  <c r="E89" i="10"/>
  <c r="D87" i="10"/>
  <c r="D88" i="10"/>
  <c r="O86" i="10"/>
  <c r="N86" i="10"/>
  <c r="M86" i="10"/>
  <c r="L84" i="10"/>
  <c r="L85" i="10"/>
  <c r="L86" i="10"/>
  <c r="K85" i="10"/>
  <c r="K86" i="10"/>
  <c r="J84" i="10"/>
  <c r="J85" i="10"/>
  <c r="J86" i="10"/>
  <c r="I85" i="10"/>
  <c r="I86" i="10"/>
  <c r="H84" i="10"/>
  <c r="H85" i="10"/>
  <c r="H86" i="10"/>
  <c r="G85" i="10"/>
  <c r="G86" i="10"/>
  <c r="F84" i="10"/>
  <c r="F85" i="10"/>
  <c r="F86" i="10"/>
  <c r="D84" i="10"/>
  <c r="D85" i="10"/>
  <c r="O83" i="10"/>
  <c r="N83" i="10"/>
  <c r="M83" i="10"/>
  <c r="L81" i="10"/>
  <c r="L82" i="10"/>
  <c r="K82" i="10"/>
  <c r="K83" i="10"/>
  <c r="J81" i="10"/>
  <c r="J82" i="10"/>
  <c r="J83" i="10"/>
  <c r="I82" i="10"/>
  <c r="I83" i="10"/>
  <c r="H81" i="10"/>
  <c r="H82" i="10"/>
  <c r="G82" i="10"/>
  <c r="G83" i="10"/>
  <c r="F81" i="10"/>
  <c r="F82" i="10"/>
  <c r="F83" i="10"/>
  <c r="D81" i="10"/>
  <c r="D82" i="10"/>
  <c r="N80" i="10"/>
  <c r="M80" i="10"/>
  <c r="L78" i="10"/>
  <c r="L79" i="10"/>
  <c r="K79" i="10"/>
  <c r="K80" i="10"/>
  <c r="J78" i="10"/>
  <c r="J79" i="10"/>
  <c r="I79" i="10"/>
  <c r="I80" i="10"/>
  <c r="H78" i="10"/>
  <c r="H79" i="10"/>
  <c r="G79" i="10"/>
  <c r="G80" i="10"/>
  <c r="F78" i="10"/>
  <c r="F79" i="10"/>
  <c r="D78" i="10"/>
  <c r="D79" i="10"/>
  <c r="B19" i="20"/>
  <c r="N77" i="10"/>
  <c r="M77" i="10"/>
  <c r="L75" i="10"/>
  <c r="L76" i="10"/>
  <c r="K76" i="10"/>
  <c r="K77" i="10"/>
  <c r="J75" i="10"/>
  <c r="J76" i="10"/>
  <c r="I76" i="10"/>
  <c r="I77" i="10"/>
  <c r="H75" i="10"/>
  <c r="H76" i="10"/>
  <c r="G76" i="10"/>
  <c r="G77" i="10"/>
  <c r="F75" i="10"/>
  <c r="F76" i="10"/>
  <c r="F77" i="10"/>
  <c r="D75" i="10"/>
  <c r="D76" i="10"/>
  <c r="B18" i="20"/>
  <c r="N74" i="10"/>
  <c r="M74" i="10"/>
  <c r="L72" i="10"/>
  <c r="L73" i="10"/>
  <c r="K73" i="10"/>
  <c r="K74" i="10"/>
  <c r="J72" i="10"/>
  <c r="J73" i="10"/>
  <c r="J74" i="10"/>
  <c r="I73" i="10"/>
  <c r="I74" i="10"/>
  <c r="H72" i="10"/>
  <c r="H73" i="10"/>
  <c r="G73" i="10"/>
  <c r="G74" i="10"/>
  <c r="F72" i="10"/>
  <c r="F73" i="10"/>
  <c r="D72" i="10"/>
  <c r="D73" i="10"/>
  <c r="B17" i="20"/>
  <c r="D74" i="10"/>
  <c r="O71" i="10"/>
  <c r="N71" i="10"/>
  <c r="M71" i="10"/>
  <c r="L69" i="10"/>
  <c r="L70" i="10"/>
  <c r="F16" i="20"/>
  <c r="K70" i="10"/>
  <c r="K71" i="10"/>
  <c r="J69" i="10"/>
  <c r="J70" i="10"/>
  <c r="I70" i="10"/>
  <c r="I71" i="10"/>
  <c r="H69" i="10"/>
  <c r="H70" i="10"/>
  <c r="G70" i="10"/>
  <c r="G71" i="10"/>
  <c r="F69" i="10"/>
  <c r="F70" i="10"/>
  <c r="D69" i="10"/>
  <c r="D70" i="10"/>
  <c r="B16" i="20"/>
  <c r="O68" i="10"/>
  <c r="N68" i="10"/>
  <c r="M68" i="10"/>
  <c r="L66" i="10"/>
  <c r="L67" i="10"/>
  <c r="K67" i="10"/>
  <c r="K68" i="10"/>
  <c r="J66" i="10"/>
  <c r="J67" i="10"/>
  <c r="I67" i="10"/>
  <c r="I68" i="10"/>
  <c r="H66" i="10"/>
  <c r="H67" i="10"/>
  <c r="D15" i="20"/>
  <c r="G67" i="10"/>
  <c r="G68" i="10"/>
  <c r="F66" i="10"/>
  <c r="F67" i="10"/>
  <c r="C15" i="20"/>
  <c r="F68" i="10"/>
  <c r="D66" i="10"/>
  <c r="D67" i="10"/>
  <c r="B15" i="20"/>
  <c r="N65" i="10"/>
  <c r="M65" i="10"/>
  <c r="K64" i="10"/>
  <c r="K65" i="10"/>
  <c r="I64" i="10"/>
  <c r="I65" i="10"/>
  <c r="G64" i="10"/>
  <c r="G65" i="10"/>
  <c r="C14" i="20"/>
  <c r="F65" i="10"/>
  <c r="B14" i="20"/>
  <c r="N62" i="10"/>
  <c r="M62" i="10"/>
  <c r="L60" i="10"/>
  <c r="L61" i="10"/>
  <c r="K61" i="10"/>
  <c r="K62" i="10"/>
  <c r="J60" i="10"/>
  <c r="J61" i="10"/>
  <c r="J62" i="10"/>
  <c r="I61" i="10"/>
  <c r="I62" i="10"/>
  <c r="H60" i="10"/>
  <c r="H61" i="10"/>
  <c r="D13" i="20"/>
  <c r="G61" i="10"/>
  <c r="G62" i="10"/>
  <c r="F60" i="10"/>
  <c r="F61" i="10"/>
  <c r="N59" i="10"/>
  <c r="M59" i="10"/>
  <c r="L57" i="10"/>
  <c r="L58" i="10"/>
  <c r="K58" i="10"/>
  <c r="K59" i="10"/>
  <c r="J57" i="10"/>
  <c r="J58" i="10"/>
  <c r="E12" i="20"/>
  <c r="I58" i="10"/>
  <c r="I59" i="10"/>
  <c r="H57" i="10"/>
  <c r="H58" i="10"/>
  <c r="G58" i="10"/>
  <c r="G59" i="10"/>
  <c r="F57" i="10"/>
  <c r="F58" i="10"/>
  <c r="D59" i="10"/>
  <c r="N56" i="10"/>
  <c r="M56" i="10"/>
  <c r="K55" i="10"/>
  <c r="K56" i="10"/>
  <c r="J56" i="10"/>
  <c r="I55" i="10"/>
  <c r="I56" i="10"/>
  <c r="D11" i="24"/>
  <c r="G55" i="10"/>
  <c r="G56" i="10"/>
  <c r="N53" i="10"/>
  <c r="M53" i="10"/>
  <c r="L51" i="10"/>
  <c r="L52" i="10"/>
  <c r="K52" i="10"/>
  <c r="K53" i="10"/>
  <c r="J51" i="10"/>
  <c r="J52" i="10"/>
  <c r="I52" i="10"/>
  <c r="I53" i="10"/>
  <c r="H51" i="10"/>
  <c r="H52" i="10"/>
  <c r="D10" i="20"/>
  <c r="H53" i="10"/>
  <c r="G52" i="10"/>
  <c r="G53" i="10"/>
  <c r="F51" i="10"/>
  <c r="F52" i="10"/>
  <c r="D53" i="10"/>
  <c r="N50" i="10"/>
  <c r="M50" i="10"/>
  <c r="L48" i="10"/>
  <c r="L49" i="10"/>
  <c r="K49" i="10"/>
  <c r="K50" i="10"/>
  <c r="J48" i="10"/>
  <c r="J49" i="10"/>
  <c r="E9" i="20"/>
  <c r="I49" i="10"/>
  <c r="I50" i="10"/>
  <c r="H48" i="10"/>
  <c r="H49" i="10"/>
  <c r="G49" i="10"/>
  <c r="G50" i="10"/>
  <c r="F48" i="10"/>
  <c r="F49" i="10"/>
  <c r="D48" i="10"/>
  <c r="D49" i="10"/>
  <c r="B9" i="20"/>
  <c r="N47" i="10"/>
  <c r="M47" i="10"/>
  <c r="K46" i="10"/>
  <c r="K47" i="10"/>
  <c r="I46" i="10"/>
  <c r="I47" i="10"/>
  <c r="F24" i="24"/>
  <c r="D10" i="24"/>
  <c r="D18" i="24"/>
  <c r="G46" i="10"/>
  <c r="G47" i="10"/>
  <c r="F47" i="10"/>
  <c r="O42" i="10"/>
  <c r="O43" i="10"/>
  <c r="O44" i="10"/>
  <c r="N44" i="10"/>
  <c r="M44" i="10"/>
  <c r="L42" i="10"/>
  <c r="L43" i="10"/>
  <c r="L44" i="10"/>
  <c r="K43" i="10"/>
  <c r="K44" i="10"/>
  <c r="J42" i="10"/>
  <c r="J43" i="10"/>
  <c r="J44" i="10"/>
  <c r="I43" i="10"/>
  <c r="I44" i="10"/>
  <c r="H42" i="10"/>
  <c r="H43" i="10"/>
  <c r="H44" i="10"/>
  <c r="G43" i="10"/>
  <c r="G44" i="10"/>
  <c r="F42" i="10"/>
  <c r="F43" i="10"/>
  <c r="F44" i="10"/>
  <c r="D42" i="10"/>
  <c r="D43" i="10"/>
  <c r="D44" i="10"/>
  <c r="O36" i="10"/>
  <c r="O37" i="10"/>
  <c r="O38" i="10"/>
  <c r="N38" i="10"/>
  <c r="M38" i="10"/>
  <c r="L36" i="10"/>
  <c r="L37" i="10"/>
  <c r="L38" i="10"/>
  <c r="K37" i="10"/>
  <c r="K38" i="10"/>
  <c r="J36" i="10"/>
  <c r="J37" i="10"/>
  <c r="J38" i="10"/>
  <c r="I37" i="10"/>
  <c r="I38" i="10"/>
  <c r="H36" i="10"/>
  <c r="H37" i="10"/>
  <c r="H38" i="10"/>
  <c r="G37" i="10"/>
  <c r="G38" i="10"/>
  <c r="F36" i="10"/>
  <c r="F37" i="10"/>
  <c r="F38" i="10"/>
  <c r="D36" i="10"/>
  <c r="D37" i="10"/>
  <c r="D38" i="10"/>
  <c r="O33" i="10"/>
  <c r="O34" i="10"/>
  <c r="O35" i="10"/>
  <c r="N35" i="10"/>
  <c r="M35" i="10"/>
  <c r="L33" i="10"/>
  <c r="L34" i="10"/>
  <c r="L35" i="10"/>
  <c r="K34" i="10"/>
  <c r="K35" i="10"/>
  <c r="J33" i="10"/>
  <c r="J34" i="10"/>
  <c r="J35" i="10"/>
  <c r="I34" i="10"/>
  <c r="I35" i="10"/>
  <c r="H33" i="10"/>
  <c r="H34" i="10"/>
  <c r="H35" i="10"/>
  <c r="G34" i="10"/>
  <c r="G35" i="10"/>
  <c r="F33" i="10"/>
  <c r="F34" i="10"/>
  <c r="F35" i="10"/>
  <c r="D33" i="10"/>
  <c r="D34" i="10"/>
  <c r="D35" i="10"/>
  <c r="O30" i="10"/>
  <c r="O31" i="10"/>
  <c r="O32" i="10"/>
  <c r="N32" i="10"/>
  <c r="M32" i="10"/>
  <c r="L30" i="10"/>
  <c r="L31" i="10"/>
  <c r="L32" i="10"/>
  <c r="K31" i="10"/>
  <c r="K32" i="10"/>
  <c r="J30" i="10"/>
  <c r="J31" i="10"/>
  <c r="J32" i="10"/>
  <c r="I31" i="10"/>
  <c r="I32" i="10"/>
  <c r="H30" i="10"/>
  <c r="H31" i="10"/>
  <c r="H32" i="10"/>
  <c r="G31" i="10"/>
  <c r="G32" i="10"/>
  <c r="F30" i="10"/>
  <c r="F31" i="10"/>
  <c r="F32" i="10"/>
  <c r="D30" i="10"/>
  <c r="D31" i="10"/>
  <c r="D32" i="10"/>
  <c r="O27" i="10"/>
  <c r="O28" i="10"/>
  <c r="O29" i="10"/>
  <c r="N29" i="10"/>
  <c r="M29" i="10"/>
  <c r="L27" i="10"/>
  <c r="L28" i="10"/>
  <c r="L29" i="10"/>
  <c r="K28" i="10"/>
  <c r="K29" i="10"/>
  <c r="J27" i="10"/>
  <c r="J28" i="10"/>
  <c r="J29" i="10"/>
  <c r="I28" i="10"/>
  <c r="I29" i="10"/>
  <c r="H27" i="10"/>
  <c r="H28" i="10"/>
  <c r="H29" i="10"/>
  <c r="G28" i="10"/>
  <c r="G29" i="10"/>
  <c r="F27" i="10"/>
  <c r="F28" i="10"/>
  <c r="F29" i="10"/>
  <c r="D27" i="10"/>
  <c r="D28" i="10"/>
  <c r="D29" i="10"/>
  <c r="O24" i="10"/>
  <c r="O25" i="10"/>
  <c r="O26" i="10"/>
  <c r="N26" i="10"/>
  <c r="M26" i="10"/>
  <c r="L24" i="10"/>
  <c r="L25" i="10"/>
  <c r="L26" i="10"/>
  <c r="K25" i="10"/>
  <c r="K26" i="10"/>
  <c r="J24" i="10"/>
  <c r="J25" i="10"/>
  <c r="J26" i="10"/>
  <c r="I25" i="10"/>
  <c r="I26" i="10"/>
  <c r="H24" i="10"/>
  <c r="H25" i="10"/>
  <c r="H26" i="10"/>
  <c r="G25" i="10"/>
  <c r="G26" i="10"/>
  <c r="F24" i="10"/>
  <c r="F25" i="10"/>
  <c r="F26" i="10"/>
  <c r="D24" i="10"/>
  <c r="D25" i="10"/>
  <c r="D26" i="10"/>
  <c r="O21" i="10"/>
  <c r="O22" i="10"/>
  <c r="O23" i="10"/>
  <c r="N23" i="10"/>
  <c r="M23" i="10"/>
  <c r="L21" i="10"/>
  <c r="L22" i="10"/>
  <c r="L23" i="10"/>
  <c r="K22" i="10"/>
  <c r="K23" i="10"/>
  <c r="J21" i="10"/>
  <c r="J22" i="10"/>
  <c r="J23" i="10"/>
  <c r="I22" i="10"/>
  <c r="I23" i="10"/>
  <c r="H21" i="10"/>
  <c r="H22" i="10"/>
  <c r="H23" i="10"/>
  <c r="G22" i="10"/>
  <c r="G23" i="10"/>
  <c r="F21" i="10"/>
  <c r="F22" i="10"/>
  <c r="F23" i="10"/>
  <c r="D21" i="10"/>
  <c r="D22" i="10"/>
  <c r="D23" i="10"/>
  <c r="O18" i="10"/>
  <c r="O19" i="10"/>
  <c r="O20" i="10"/>
  <c r="N20" i="10"/>
  <c r="M20" i="10"/>
  <c r="L18" i="10"/>
  <c r="L19" i="10"/>
  <c r="L20" i="10"/>
  <c r="K19" i="10"/>
  <c r="K20" i="10"/>
  <c r="J18" i="10"/>
  <c r="J19" i="10"/>
  <c r="J20" i="10"/>
  <c r="I19" i="10"/>
  <c r="I20" i="10"/>
  <c r="H18" i="10"/>
  <c r="H19" i="10"/>
  <c r="H20" i="10"/>
  <c r="G19" i="10"/>
  <c r="G20" i="10"/>
  <c r="F18" i="10"/>
  <c r="F19" i="10"/>
  <c r="F20" i="10"/>
  <c r="D18" i="10"/>
  <c r="D19" i="10"/>
  <c r="D20" i="10"/>
  <c r="O15" i="10"/>
  <c r="O16" i="10"/>
  <c r="O17" i="10"/>
  <c r="N17" i="10"/>
  <c r="M17" i="10"/>
  <c r="L15" i="10"/>
  <c r="L16" i="10"/>
  <c r="L17" i="10"/>
  <c r="K16" i="10"/>
  <c r="K17" i="10"/>
  <c r="J15" i="10"/>
  <c r="J16" i="10"/>
  <c r="J17" i="10"/>
  <c r="I16" i="10"/>
  <c r="I17" i="10"/>
  <c r="H15" i="10"/>
  <c r="H16" i="10"/>
  <c r="H17" i="10"/>
  <c r="G16" i="10"/>
  <c r="G17" i="10"/>
  <c r="F15" i="10"/>
  <c r="F16" i="10"/>
  <c r="F17" i="10"/>
  <c r="D15" i="10"/>
  <c r="D16" i="10"/>
  <c r="D17" i="10"/>
  <c r="O12" i="10"/>
  <c r="O13" i="10"/>
  <c r="O14" i="10"/>
  <c r="N14" i="10"/>
  <c r="M14" i="10"/>
  <c r="L12" i="10"/>
  <c r="L13" i="10"/>
  <c r="L14" i="10"/>
  <c r="K13" i="10"/>
  <c r="K14" i="10"/>
  <c r="J12" i="10"/>
  <c r="J13" i="10"/>
  <c r="J14" i="10"/>
  <c r="I13" i="10"/>
  <c r="I14" i="10"/>
  <c r="H12" i="10"/>
  <c r="H13" i="10"/>
  <c r="H14" i="10"/>
  <c r="G13" i="10"/>
  <c r="G14" i="10"/>
  <c r="F12" i="10"/>
  <c r="F13" i="10"/>
  <c r="F14" i="10"/>
  <c r="D12" i="10"/>
  <c r="D13" i="10"/>
  <c r="D14" i="10"/>
  <c r="O9" i="10"/>
  <c r="O10" i="10"/>
  <c r="O11" i="10"/>
  <c r="N11" i="10"/>
  <c r="M11" i="10"/>
  <c r="L9" i="10"/>
  <c r="L10" i="10"/>
  <c r="L11" i="10"/>
  <c r="K10" i="10"/>
  <c r="K11" i="10"/>
  <c r="J9" i="10"/>
  <c r="J10" i="10"/>
  <c r="J11" i="10"/>
  <c r="I10" i="10"/>
  <c r="I11" i="10"/>
  <c r="H9" i="10"/>
  <c r="H10" i="10"/>
  <c r="H11" i="10"/>
  <c r="G10" i="10"/>
  <c r="G11" i="10"/>
  <c r="F9" i="10"/>
  <c r="F10" i="10"/>
  <c r="F11" i="10"/>
  <c r="D9" i="10"/>
  <c r="D10" i="10"/>
  <c r="D11" i="10"/>
  <c r="O6" i="10"/>
  <c r="O7" i="10"/>
  <c r="O8" i="10"/>
  <c r="N8" i="10"/>
  <c r="M8" i="10"/>
  <c r="L6" i="10"/>
  <c r="L7" i="10"/>
  <c r="L8" i="10"/>
  <c r="K7" i="10"/>
  <c r="K8" i="10"/>
  <c r="J6" i="10"/>
  <c r="J7" i="10"/>
  <c r="J8" i="10"/>
  <c r="I7" i="10"/>
  <c r="I8" i="10"/>
  <c r="H6" i="10"/>
  <c r="H7" i="10"/>
  <c r="H8" i="10"/>
  <c r="G7" i="10"/>
  <c r="G8" i="10"/>
  <c r="F6" i="10"/>
  <c r="F7" i="10"/>
  <c r="F8" i="10"/>
  <c r="D6" i="10"/>
  <c r="D7" i="10"/>
  <c r="D8" i="10"/>
  <c r="F25" i="24"/>
  <c r="B12" i="24"/>
  <c r="C150" i="1"/>
  <c r="E150" i="1"/>
  <c r="C149" i="1"/>
  <c r="C148" i="1"/>
  <c r="F148" i="1"/>
  <c r="G148" i="1"/>
  <c r="H148" i="1"/>
  <c r="C147" i="1"/>
  <c r="F147" i="1"/>
  <c r="G147" i="1"/>
  <c r="H147" i="1"/>
  <c r="C146" i="1"/>
  <c r="C142" i="1"/>
  <c r="C145" i="1"/>
  <c r="C144" i="1"/>
  <c r="F144" i="1"/>
  <c r="E144" i="1"/>
  <c r="C143" i="1"/>
  <c r="F143" i="1"/>
  <c r="G143" i="1"/>
  <c r="H143" i="1"/>
  <c r="C141" i="1"/>
  <c r="C140" i="1"/>
  <c r="C139" i="1"/>
  <c r="F139" i="1"/>
  <c r="G139" i="1"/>
  <c r="H139" i="1"/>
  <c r="C138" i="1"/>
  <c r="F138" i="1"/>
  <c r="G138" i="1"/>
  <c r="H138" i="1"/>
  <c r="C137" i="1"/>
  <c r="C136" i="1"/>
  <c r="E136" i="1"/>
  <c r="C110" i="1"/>
  <c r="E110" i="1"/>
  <c r="C122" i="1"/>
  <c r="E122" i="1"/>
  <c r="C121" i="1"/>
  <c r="C116" i="1"/>
  <c r="C120" i="1"/>
  <c r="F120" i="1"/>
  <c r="G120" i="1"/>
  <c r="H120" i="1"/>
  <c r="C115" i="1"/>
  <c r="C119" i="1"/>
  <c r="C114" i="1"/>
  <c r="C118" i="1"/>
  <c r="C113" i="1"/>
  <c r="E113" i="1"/>
  <c r="C112" i="1"/>
  <c r="C111" i="1"/>
  <c r="F111" i="1"/>
  <c r="G111" i="1"/>
  <c r="H111" i="1"/>
  <c r="C109" i="1"/>
  <c r="E109" i="1"/>
  <c r="G92" i="13"/>
  <c r="G91" i="13"/>
  <c r="G89" i="13"/>
  <c r="G88" i="13"/>
  <c r="G84" i="13"/>
  <c r="G83" i="13"/>
  <c r="G81" i="13"/>
  <c r="G80" i="13"/>
  <c r="G79" i="13"/>
  <c r="G76" i="13"/>
  <c r="G75" i="13"/>
  <c r="G73" i="13"/>
  <c r="F92" i="1"/>
  <c r="I58" i="24"/>
  <c r="I57" i="24"/>
  <c r="G11" i="24"/>
  <c r="J11" i="24"/>
  <c r="H11" i="24"/>
  <c r="F11" i="24"/>
  <c r="F32" i="20"/>
  <c r="F31" i="20"/>
  <c r="F30" i="20"/>
  <c r="F29" i="20"/>
  <c r="F28" i="20"/>
  <c r="F27" i="20"/>
  <c r="F26" i="20"/>
  <c r="F25" i="20"/>
  <c r="F24" i="20"/>
  <c r="F22" i="20"/>
  <c r="F21" i="20"/>
  <c r="E32" i="20"/>
  <c r="E31" i="20"/>
  <c r="E28" i="20"/>
  <c r="E27" i="20"/>
  <c r="E26" i="20"/>
  <c r="E24" i="20"/>
  <c r="E23" i="20"/>
  <c r="E21" i="20"/>
  <c r="E20" i="20"/>
  <c r="D30" i="20"/>
  <c r="D29" i="20"/>
  <c r="D28" i="20"/>
  <c r="D26" i="20"/>
  <c r="D25" i="20"/>
  <c r="D24" i="20"/>
  <c r="D21" i="20"/>
  <c r="C32" i="20"/>
  <c r="C30" i="20"/>
  <c r="C29" i="20"/>
  <c r="C28" i="20"/>
  <c r="C27" i="20"/>
  <c r="C26" i="20"/>
  <c r="C25" i="20"/>
  <c r="C24" i="20"/>
  <c r="C23" i="20"/>
  <c r="C21" i="20"/>
  <c r="C20" i="20"/>
  <c r="I52" i="24"/>
  <c r="I51" i="24"/>
  <c r="I46" i="24"/>
  <c r="I45" i="24"/>
  <c r="I40" i="24"/>
  <c r="I39" i="24"/>
  <c r="I34" i="24"/>
  <c r="I33" i="24"/>
  <c r="I32" i="24"/>
  <c r="I31" i="24"/>
  <c r="I30" i="24"/>
  <c r="F23" i="24"/>
  <c r="G83" i="20"/>
  <c r="G82" i="20"/>
  <c r="F81" i="20"/>
  <c r="F72" i="20"/>
  <c r="F71" i="20"/>
  <c r="F70" i="20"/>
  <c r="C21" i="16"/>
  <c r="D21" i="16"/>
  <c r="C11" i="16"/>
  <c r="D11" i="16"/>
  <c r="E11" i="16"/>
  <c r="F11" i="16"/>
  <c r="C10" i="16"/>
  <c r="D10" i="16"/>
  <c r="E10" i="16"/>
  <c r="C9" i="16"/>
  <c r="D9" i="16"/>
  <c r="E9" i="16"/>
  <c r="C8" i="16"/>
  <c r="D8" i="16"/>
  <c r="E8" i="16"/>
  <c r="B22" i="16"/>
  <c r="C22" i="16"/>
  <c r="D22" i="16"/>
  <c r="E22" i="16"/>
  <c r="D15" i="16"/>
  <c r="C15" i="16"/>
  <c r="B17" i="16"/>
  <c r="C17" i="16"/>
  <c r="D17" i="16"/>
  <c r="E17" i="16"/>
  <c r="B16" i="16"/>
  <c r="C16" i="16"/>
  <c r="D16" i="16"/>
  <c r="E16" i="16"/>
  <c r="D7" i="16"/>
  <c r="E7" i="16"/>
  <c r="G85" i="13"/>
  <c r="G82" i="13"/>
  <c r="G77" i="13"/>
  <c r="G74" i="13"/>
  <c r="F149" i="1"/>
  <c r="G149" i="1"/>
  <c r="H149" i="1"/>
  <c r="G144" i="1"/>
  <c r="H144" i="1"/>
  <c r="F141" i="1"/>
  <c r="G141" i="1"/>
  <c r="H141" i="1"/>
  <c r="F140" i="1"/>
  <c r="G140" i="1"/>
  <c r="H140" i="1"/>
  <c r="F137" i="1"/>
  <c r="F109" i="1"/>
  <c r="G109" i="1"/>
  <c r="H109" i="1"/>
  <c r="F121" i="1"/>
  <c r="G121" i="1"/>
  <c r="H121" i="1"/>
  <c r="F116" i="1"/>
  <c r="G116" i="1"/>
  <c r="H116" i="1"/>
  <c r="F114" i="1"/>
  <c r="G114" i="1"/>
  <c r="H114" i="1"/>
  <c r="F112" i="1"/>
  <c r="I75" i="1"/>
  <c r="I74" i="1"/>
  <c r="I68" i="1"/>
  <c r="E47" i="13"/>
  <c r="F47" i="13"/>
  <c r="F46" i="13"/>
  <c r="D29" i="13"/>
  <c r="F29" i="13"/>
  <c r="C29" i="13"/>
  <c r="E29" i="13"/>
  <c r="D28" i="13"/>
  <c r="F28" i="13"/>
  <c r="C28" i="13"/>
  <c r="E28" i="13"/>
  <c r="D27" i="13"/>
  <c r="C27" i="13"/>
  <c r="D25" i="13"/>
  <c r="F25" i="13"/>
  <c r="D26" i="13"/>
  <c r="F26" i="13"/>
  <c r="C26" i="13"/>
  <c r="E26" i="13"/>
  <c r="D24" i="13"/>
  <c r="C24" i="13"/>
  <c r="E24" i="13"/>
  <c r="D23" i="13"/>
  <c r="F23" i="13"/>
  <c r="C23" i="13"/>
  <c r="E23" i="13"/>
  <c r="D22" i="13"/>
  <c r="F22" i="13"/>
  <c r="C22" i="13"/>
  <c r="C25" i="13"/>
  <c r="E25" i="13"/>
  <c r="D21" i="13"/>
  <c r="C21" i="13"/>
  <c r="E21" i="13"/>
  <c r="H62" i="1"/>
  <c r="I62" i="1"/>
  <c r="H20" i="1"/>
  <c r="H21" i="1"/>
  <c r="F29" i="1"/>
  <c r="E20" i="1"/>
  <c r="E21" i="1"/>
  <c r="E22" i="1"/>
  <c r="I29" i="1"/>
  <c r="H29" i="1"/>
  <c r="G29" i="1"/>
  <c r="E29" i="1"/>
  <c r="D29" i="1"/>
  <c r="F91" i="1"/>
  <c r="F93" i="1"/>
  <c r="F90" i="1"/>
  <c r="A57" i="13"/>
  <c r="F41" i="13"/>
  <c r="E41" i="13"/>
  <c r="F40" i="13"/>
  <c r="E40" i="13"/>
  <c r="F39" i="13"/>
  <c r="E39" i="13"/>
  <c r="F38" i="13"/>
  <c r="E38" i="13"/>
  <c r="F37" i="13"/>
  <c r="E37" i="13"/>
  <c r="F27" i="13"/>
  <c r="E27" i="13"/>
  <c r="F24" i="13"/>
  <c r="E22" i="13"/>
  <c r="F21" i="13"/>
  <c r="F13" i="13"/>
  <c r="E13" i="13"/>
  <c r="F12" i="13"/>
  <c r="E12" i="13"/>
  <c r="F11" i="13"/>
  <c r="A97" i="1"/>
  <c r="D84" i="1"/>
  <c r="H23" i="1"/>
  <c r="H22" i="1"/>
  <c r="D56" i="1"/>
  <c r="D55" i="1"/>
  <c r="F55" i="1"/>
  <c r="D54" i="1"/>
  <c r="F54" i="1"/>
  <c r="D53" i="1"/>
  <c r="F53" i="1"/>
  <c r="D47" i="1"/>
  <c r="F47" i="1"/>
  <c r="D46" i="1"/>
  <c r="F46" i="1"/>
  <c r="D45" i="1"/>
  <c r="E23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C107" i="1"/>
  <c r="H73" i="1"/>
  <c r="H61" i="1"/>
  <c r="G61" i="1"/>
  <c r="H67" i="1"/>
  <c r="H19" i="1"/>
  <c r="H9" i="1"/>
  <c r="I61" i="1"/>
  <c r="G137" i="1"/>
  <c r="H137" i="1"/>
  <c r="E149" i="1"/>
  <c r="E141" i="1"/>
  <c r="E140" i="1"/>
  <c r="E137" i="1"/>
  <c r="G112" i="1"/>
  <c r="H112" i="1"/>
  <c r="E121" i="1"/>
  <c r="E116" i="1"/>
  <c r="E114" i="1"/>
  <c r="E112" i="1"/>
  <c r="F45" i="1"/>
  <c r="E23" i="11"/>
  <c r="E24" i="11"/>
  <c r="E22" i="11"/>
  <c r="F56" i="1"/>
  <c r="F44" i="1"/>
  <c r="E21" i="11"/>
  <c r="A124" i="1"/>
  <c r="F134" i="1"/>
  <c r="F107" i="1"/>
  <c r="I67" i="1"/>
  <c r="I73" i="1"/>
  <c r="D44" i="1"/>
  <c r="B44" i="1"/>
  <c r="E19" i="1"/>
  <c r="D9" i="1"/>
  <c r="G9" i="1"/>
  <c r="E9" i="1"/>
  <c r="H9" i="11"/>
  <c r="F9" i="11"/>
  <c r="D9" i="11"/>
  <c r="B9" i="11"/>
  <c r="F12" i="24"/>
  <c r="I11" i="24"/>
  <c r="C12" i="24"/>
  <c r="G12" i="24"/>
  <c r="J12" i="24"/>
  <c r="D12" i="24"/>
  <c r="B10" i="24"/>
  <c r="B18" i="24"/>
  <c r="F150" i="1"/>
  <c r="G150" i="1"/>
  <c r="H150" i="1"/>
  <c r="F122" i="1"/>
  <c r="G122" i="1"/>
  <c r="H122" i="1"/>
  <c r="E111" i="1"/>
  <c r="E147" i="1"/>
  <c r="E139" i="1"/>
  <c r="B29" i="16"/>
  <c r="E29" i="16"/>
  <c r="F10" i="16"/>
  <c r="F145" i="1"/>
  <c r="G145" i="1"/>
  <c r="H145" i="1"/>
  <c r="E145" i="1"/>
  <c r="E142" i="1"/>
  <c r="F115" i="1"/>
  <c r="G115" i="1"/>
  <c r="H115" i="1"/>
  <c r="F142" i="1"/>
  <c r="G142" i="1"/>
  <c r="H142" i="1"/>
  <c r="G10" i="24"/>
  <c r="J10" i="24"/>
  <c r="L50" i="10"/>
  <c r="F9" i="20"/>
  <c r="C10" i="20"/>
  <c r="F53" i="10"/>
  <c r="O56" i="10"/>
  <c r="D14" i="20"/>
  <c r="H65" i="10"/>
  <c r="G38" i="20"/>
  <c r="H38" i="20"/>
  <c r="O137" i="10"/>
  <c r="F17" i="20"/>
  <c r="L74" i="10"/>
  <c r="H125" i="10"/>
  <c r="D36" i="20"/>
  <c r="E115" i="1"/>
  <c r="E138" i="1"/>
  <c r="O47" i="10"/>
  <c r="J50" i="10"/>
  <c r="F14" i="20"/>
  <c r="L65" i="10"/>
  <c r="D17" i="20"/>
  <c r="H74" i="10"/>
  <c r="B22" i="20"/>
  <c r="D89" i="10"/>
  <c r="O125" i="10"/>
  <c r="C37" i="20"/>
  <c r="F131" i="10"/>
  <c r="D149" i="10"/>
  <c r="D39" i="20"/>
  <c r="H149" i="10"/>
  <c r="F18" i="20"/>
  <c r="L77" i="10"/>
  <c r="D86" i="10"/>
  <c r="B21" i="20"/>
  <c r="F125" i="10"/>
  <c r="C36" i="20"/>
  <c r="D19" i="20"/>
  <c r="H80" i="10"/>
  <c r="O80" i="10"/>
  <c r="B25" i="20"/>
  <c r="D98" i="10"/>
  <c r="F137" i="10"/>
  <c r="C38" i="20"/>
  <c r="J137" i="10"/>
  <c r="E38" i="20"/>
  <c r="F149" i="10"/>
  <c r="C39" i="20"/>
  <c r="D62" i="10"/>
  <c r="D92" i="10"/>
  <c r="B23" i="20"/>
  <c r="D104" i="10"/>
  <c r="B27" i="20"/>
  <c r="D113" i="10"/>
  <c r="B30" i="20"/>
  <c r="D119" i="10"/>
  <c r="B32" i="20"/>
  <c r="J125" i="10"/>
  <c r="E36" i="20"/>
  <c r="D131" i="10"/>
  <c r="B37" i="20"/>
  <c r="J131" i="10"/>
  <c r="E37" i="20"/>
  <c r="O131" i="10"/>
  <c r="G37" i="20"/>
  <c r="H37" i="20"/>
  <c r="D137" i="10"/>
  <c r="B38" i="20"/>
  <c r="H137" i="10"/>
  <c r="D38" i="20"/>
  <c r="J149" i="10"/>
  <c r="E39" i="20"/>
  <c r="L149" i="10"/>
  <c r="F39" i="20"/>
  <c r="E17" i="20"/>
  <c r="D116" i="10"/>
  <c r="B31" i="20"/>
  <c r="D125" i="10"/>
  <c r="B36" i="20"/>
  <c r="H131" i="10"/>
  <c r="D37" i="20"/>
  <c r="L137" i="10"/>
  <c r="F38" i="20"/>
  <c r="E13" i="20"/>
  <c r="H62" i="10"/>
  <c r="D68" i="10"/>
  <c r="H68" i="10"/>
  <c r="D80" i="10"/>
  <c r="D83" i="10"/>
  <c r="B20" i="20"/>
  <c r="D95" i="10"/>
  <c r="B24" i="20"/>
  <c r="D101" i="10"/>
  <c r="B26" i="20"/>
  <c r="D107" i="10"/>
  <c r="B28" i="20"/>
  <c r="L125" i="10"/>
  <c r="F36" i="20"/>
  <c r="L131" i="10"/>
  <c r="O149" i="10"/>
  <c r="C18" i="20"/>
  <c r="E118" i="1"/>
  <c r="F118" i="1"/>
  <c r="G118" i="1"/>
  <c r="H118" i="1"/>
  <c r="E119" i="1"/>
  <c r="F119" i="1"/>
  <c r="G119" i="1"/>
  <c r="H119" i="1"/>
  <c r="F8" i="16"/>
  <c r="B27" i="16"/>
  <c r="E27" i="16"/>
  <c r="F8" i="20"/>
  <c r="F10" i="24"/>
  <c r="F18" i="24"/>
  <c r="L47" i="10"/>
  <c r="O146" i="10"/>
  <c r="H39" i="20"/>
  <c r="B28" i="16"/>
  <c r="E28" i="16"/>
  <c r="F9" i="16"/>
  <c r="C11" i="20"/>
  <c r="F56" i="10"/>
  <c r="C11" i="24"/>
  <c r="D9" i="20"/>
  <c r="H50" i="10"/>
  <c r="D16" i="20"/>
  <c r="H71" i="10"/>
  <c r="C29" i="16"/>
  <c r="D29" i="16"/>
  <c r="J68" i="10"/>
  <c r="E15" i="20"/>
  <c r="E14" i="20"/>
  <c r="J65" i="10"/>
  <c r="E12" i="24"/>
  <c r="D50" i="10"/>
  <c r="E10" i="20"/>
  <c r="J53" i="10"/>
  <c r="I12" i="24"/>
  <c r="H12" i="24"/>
  <c r="B8" i="20"/>
  <c r="D47" i="10"/>
  <c r="O50" i="10"/>
  <c r="C12" i="20"/>
  <c r="F59" i="10"/>
  <c r="F15" i="20"/>
  <c r="L68" i="10"/>
  <c r="H77" i="10"/>
  <c r="D18" i="20"/>
  <c r="F113" i="1"/>
  <c r="G113" i="1"/>
  <c r="H113" i="1"/>
  <c r="E148" i="1"/>
  <c r="D27" i="20"/>
  <c r="F146" i="1"/>
  <c r="G146" i="1"/>
  <c r="H146" i="1"/>
  <c r="E146" i="1"/>
  <c r="C9" i="20"/>
  <c r="F50" i="10"/>
  <c r="L83" i="10"/>
  <c r="F20" i="20"/>
  <c r="H92" i="10"/>
  <c r="D23" i="20"/>
  <c r="L134" i="10"/>
  <c r="E8" i="20"/>
  <c r="J47" i="10"/>
  <c r="D11" i="20"/>
  <c r="H56" i="10"/>
  <c r="H116" i="10"/>
  <c r="D31" i="20"/>
  <c r="E120" i="1"/>
  <c r="E10" i="24"/>
  <c r="E18" i="24"/>
  <c r="B30" i="16"/>
  <c r="E30" i="16"/>
  <c r="C117" i="1"/>
  <c r="O53" i="10"/>
  <c r="J59" i="10"/>
  <c r="O59" i="10"/>
  <c r="O62" i="10"/>
  <c r="E16" i="20"/>
  <c r="J71" i="10"/>
  <c r="J89" i="10"/>
  <c r="E22" i="20"/>
  <c r="H119" i="10"/>
  <c r="D32" i="20"/>
  <c r="F122" i="10"/>
  <c r="D128" i="10"/>
  <c r="L146" i="10"/>
  <c r="C17" i="20"/>
  <c r="F74" i="10"/>
  <c r="J80" i="10"/>
  <c r="E19" i="20"/>
  <c r="J113" i="10"/>
  <c r="E30" i="20"/>
  <c r="O116" i="10"/>
  <c r="F110" i="1"/>
  <c r="G110" i="1"/>
  <c r="H110" i="1"/>
  <c r="C29" i="1"/>
  <c r="F136" i="1"/>
  <c r="G136" i="1"/>
  <c r="H136" i="1"/>
  <c r="G86" i="13"/>
  <c r="C8" i="20"/>
  <c r="C10" i="24"/>
  <c r="C18" i="24"/>
  <c r="B11" i="24"/>
  <c r="D56" i="10"/>
  <c r="C13" i="20"/>
  <c r="F62" i="10"/>
  <c r="D65" i="10"/>
  <c r="L71" i="10"/>
  <c r="D77" i="10"/>
  <c r="C19" i="20"/>
  <c r="F80" i="10"/>
  <c r="J110" i="10"/>
  <c r="E29" i="20"/>
  <c r="E143" i="1"/>
  <c r="E11" i="20"/>
  <c r="E11" i="24"/>
  <c r="D12" i="20"/>
  <c r="H59" i="10"/>
  <c r="F13" i="20"/>
  <c r="L62" i="10"/>
  <c r="L92" i="10"/>
  <c r="F23" i="20"/>
  <c r="F116" i="10"/>
  <c r="C31" i="20"/>
  <c r="F71" i="10"/>
  <c r="C16" i="20"/>
  <c r="H83" i="10"/>
  <c r="D20" i="20"/>
  <c r="F10" i="20"/>
  <c r="L53" i="10"/>
  <c r="F12" i="20"/>
  <c r="L59" i="10"/>
  <c r="O98" i="10"/>
  <c r="D8" i="20"/>
  <c r="H47" i="10"/>
  <c r="O65" i="10"/>
  <c r="O77" i="10"/>
  <c r="H89" i="10"/>
  <c r="J98" i="10"/>
  <c r="E25" i="20"/>
  <c r="D71" i="10"/>
  <c r="E18" i="20"/>
  <c r="J77" i="10"/>
  <c r="F11" i="20"/>
  <c r="L56" i="10"/>
  <c r="F19" i="20"/>
  <c r="L80" i="10"/>
  <c r="O74" i="10"/>
  <c r="H10" i="24"/>
  <c r="I10" i="24"/>
  <c r="C30" i="16"/>
  <c r="D30" i="16"/>
  <c r="E77" i="20"/>
  <c r="E76" i="20"/>
  <c r="D28" i="16"/>
  <c r="C28" i="16"/>
  <c r="D76" i="20"/>
  <c r="D77" i="20"/>
  <c r="F77" i="20"/>
  <c r="F76" i="20"/>
  <c r="C76" i="20"/>
  <c r="C77" i="20"/>
  <c r="E117" i="1"/>
  <c r="F117" i="1"/>
  <c r="G117" i="1"/>
  <c r="H117" i="1"/>
  <c r="C27" i="16"/>
  <c r="D27" i="16"/>
  <c r="B77" i="20"/>
  <c r="B76" i="20"/>
  <c r="G90" i="13"/>
  <c r="G78" i="13"/>
  <c r="G87" i="13"/>
</calcChain>
</file>

<file path=xl/sharedStrings.xml><?xml version="1.0" encoding="utf-8"?>
<sst xmlns="http://schemas.openxmlformats.org/spreadsheetml/2006/main" count="1158" uniqueCount="517">
  <si>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</si>
  <si>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</si>
  <si>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</si>
  <si>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</si>
  <si>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</si>
  <si>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</si>
  <si>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</si>
  <si>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</si>
  <si>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</si>
  <si>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</si>
  <si>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</si>
  <si>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</si>
  <si>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</si>
  <si>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</si>
  <si>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</si>
  <si>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</si>
  <si>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>Arbejdstidsbestemte tillæg i tilfælde, der ikke er omfattet af aftalen om ulempegodtgørelse: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</si>
  <si>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</si>
  <si>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</si>
  <si>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</si>
  <si>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</si>
  <si>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</si>
  <si>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</si>
  <si>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</si>
  <si>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</si>
  <si>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</si>
  <si>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</si>
  <si>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</si>
  <si>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</si>
  <si>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</si>
  <si>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</si>
  <si>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</si>
  <si>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</si>
  <si>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</si>
  <si>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</si>
  <si>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</si>
  <si>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</si>
  <si>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</si>
  <si>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</si>
  <si>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</si>
  <si>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</si>
  <si>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</si>
  <si>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</si>
  <si>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</si>
  <si>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</si>
  <si>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</si>
  <si>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</si>
  <si>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</si>
  <si>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</si>
  <si>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</si>
  <si>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</si>
  <si>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</si>
  <si>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</si>
  <si>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</si>
  <si>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</si>
  <si>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</si>
  <si>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</si>
  <si>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</si>
  <si>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</si>
  <si>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</si>
  <si>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</si>
  <si>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Særlig bemyndigelse, kørsel med bil *</t>
  </si>
  <si>
    <t>Praktikaflønning - satser</t>
  </si>
  <si>
    <t>Praktiktime á 45 min.</t>
  </si>
  <si>
    <t>Honorar - aleneperiode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</si>
  <si>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</si>
  <si>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</si>
  <si>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</si>
  <si>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</si>
  <si>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</si>
  <si>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</si>
  <si>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</si>
  <si>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</si>
  <si>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</si>
  <si>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</si>
  <si>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</si>
  <si>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</si>
  <si>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</si>
  <si>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</si>
  <si>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</si>
  <si>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</si>
  <si>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</si>
  <si>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</si>
  <si>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</si>
  <si>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</si>
  <si>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</si>
  <si>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</si>
  <si>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</si>
  <si>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</si>
  <si>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</si>
  <si>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</si>
  <si>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</si>
  <si>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</si>
  <si>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</si>
  <si>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</si>
  <si>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</si>
  <si>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</si>
  <si>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</si>
  <si>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</si>
  <si>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</si>
  <si>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</si>
  <si>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</si>
  <si>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</si>
  <si>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</si>
  <si>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</si>
  <si>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</si>
  <si>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</si>
  <si>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</si>
  <si>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</si>
  <si>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</si>
  <si>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Ledere ved frie grundskoler</t>
  </si>
  <si>
    <t>Lønintervaller for skoleledere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</si>
  <si>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</si>
  <si>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</si>
  <si>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</si>
  <si>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</si>
  <si>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</si>
  <si>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</si>
  <si>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</si>
  <si>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</si>
  <si>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</si>
  <si>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</si>
  <si>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</si>
  <si>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Lønintervaller kostskoleledere</t>
  </si>
  <si>
    <t>Antal kostelever</t>
  </si>
  <si>
    <t>0-99</t>
  </si>
  <si>
    <t>0-24</t>
  </si>
  <si>
    <t>00-99</t>
  </si>
  <si>
    <t>25-59</t>
  </si>
  <si>
    <t>60 -</t>
  </si>
  <si>
    <t>00-349</t>
  </si>
  <si>
    <t>Afdelingsledere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</si>
  <si>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</si>
  <si>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</si>
  <si>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</si>
  <si>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</si>
  <si>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</si>
  <si>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</si>
  <si>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</si>
  <si>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Lønintervaller for viceskoleinspektører, afdelingsledere, afdelingsinspektører samt viceafdelingsinspektører</t>
  </si>
  <si>
    <t>Afdelingsinspektører v/ private gymnasier, grundskole</t>
  </si>
  <si>
    <t>Pensionsbidrag for skoleledere, viceskoleinspektører, afdelingsinspektører, viceafdelingsinspektører og afdelingsledere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</si>
  <si>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</si>
  <si>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</si>
  <si>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</si>
  <si>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</si>
  <si>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</si>
  <si>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</si>
  <si>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</si>
  <si>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</si>
  <si>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</si>
  <si>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</si>
  <si>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</si>
  <si>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</si>
  <si>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</si>
  <si>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</si>
  <si>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</si>
  <si>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</si>
  <si>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</si>
  <si>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</si>
  <si>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</si>
  <si>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</si>
  <si>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</si>
  <si>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</si>
  <si>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</si>
  <si>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</si>
  <si>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</si>
  <si>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Timelønnede pædagoger</t>
  </si>
  <si>
    <t>Ikke uddannede pædagoger</t>
  </si>
  <si>
    <t>Uddannede pædagoger</t>
  </si>
  <si>
    <t>Alder</t>
  </si>
  <si>
    <t>16-årige</t>
  </si>
  <si>
    <t>17-årige</t>
  </si>
  <si>
    <t>Praktikstuderende</t>
  </si>
  <si>
    <t>Pr. måned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</si>
  <si>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</si>
  <si>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</si>
  <si>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</si>
  <si>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</si>
  <si>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</si>
  <si>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</si>
  <si>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</si>
  <si>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</si>
  <si>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</si>
  <si>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</si>
  <si>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</si>
  <si>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</si>
  <si>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</si>
  <si>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</si>
  <si>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</si>
  <si>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</si>
  <si>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</si>
  <si>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</si>
  <si>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</si>
  <si>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</si>
  <si>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</si>
  <si>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</si>
  <si>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Dispositionstillæg</t>
  </si>
  <si>
    <t xml:space="preserve">Pensions-givende løn </t>
  </si>
  <si>
    <t>Månedligt tillæg for øvrige ansatte (omfatter ikke pædagogisk personale med pension i PBU og Pension Danmark)</t>
  </si>
  <si>
    <t>Eget-          bidrag</t>
  </si>
  <si>
    <t xml:space="preserve">Arbejds-         giverbidrag </t>
  </si>
  <si>
    <t>Historiske satser - reguleringsprocent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</si>
  <si>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</si>
  <si>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</si>
  <si>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</si>
  <si>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afløsere</t>
  </si>
  <si>
    <t>15 årige</t>
  </si>
  <si>
    <t>16 årige</t>
  </si>
  <si>
    <t>17 årige</t>
  </si>
  <si>
    <t>Unge under 18 år</t>
  </si>
  <si>
    <t>Mindste timeløn for</t>
  </si>
  <si>
    <t>Administrativt personale</t>
  </si>
  <si>
    <t>Rengøringspersonale</t>
  </si>
  <si>
    <t>Tillæg for arbejde lørdage, søndage og helligdage</t>
  </si>
  <si>
    <t>Tillæg for ungarbejdere for arbejde kl. 17-07</t>
  </si>
  <si>
    <t>Tillæg for arbejde mellem kl. 17-24</t>
  </si>
  <si>
    <t>Tillæg for arbejde mellem kl. 24-06</t>
  </si>
  <si>
    <t>Heraf anses 1/3 som medarbejderens eget bidrag og 2/3 som arbejdsgiverbidrag. Arbejdsgiver betaler det fulde pensionsbidrag.</t>
  </si>
  <si>
    <t>Funktionstillæg - administrativt personale</t>
  </si>
  <si>
    <t>Funktion</t>
  </si>
  <si>
    <t>Elevadministration</t>
  </si>
  <si>
    <t>Ansøgning af tilskud</t>
  </si>
  <si>
    <t>Regnskab/budget</t>
  </si>
  <si>
    <t>Løn- og personaleadministration</t>
  </si>
  <si>
    <t>Personaleledelse</t>
  </si>
  <si>
    <t>Lidt</t>
  </si>
  <si>
    <t>Meget</t>
  </si>
  <si>
    <t>Noget</t>
  </si>
  <si>
    <t>Funktionstillæg - teknisk servicepersonale</t>
  </si>
  <si>
    <t>Budget</t>
  </si>
  <si>
    <t>Håndværksfaglig</t>
  </si>
  <si>
    <t>Alarm</t>
  </si>
  <si>
    <t>Projektledelse</t>
  </si>
  <si>
    <t>Mindsteløn for</t>
  </si>
  <si>
    <t>Teknisk servicepersonale</t>
  </si>
  <si>
    <t>Godtgørelse for tjeneste i tidsrummet kl. 17-06</t>
  </si>
  <si>
    <t>Rengøringsarbejdere, teknisk servicepersonale, chauffører og administrativt personale</t>
  </si>
  <si>
    <t>gældende for perioden 1. april 2015- 31. marts 2016</t>
  </si>
  <si>
    <t>Ledelses- og koordineringsopgaver pr. praktiktime og pr. uv-time for hver deltagende lærerstuderende</t>
  </si>
  <si>
    <t>Time</t>
  </si>
  <si>
    <t>Funktionstillæg</t>
  </si>
  <si>
    <t xml:space="preserve">Gruppelivspræmie (Aftale FG nr. 85034)    </t>
  </si>
  <si>
    <t>Gruppelivspræmie øvrige ansatte (Aftale FG nr. 26001)</t>
  </si>
  <si>
    <t xml:space="preserve">Ved afskedigelse betales G-dage efter ovennævnte satser. 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</si>
  <si>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</si>
  <si>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</si>
  <si>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</si>
  <si>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</si>
  <si>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</si>
  <si>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</si>
  <si>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</si>
  <si>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DENNE LØNTABEL GÆLDER ALENE FOR ANSATTE UNDER OK MELLEM KRIFA OG FORENINGEN AF KRISTNE FRISKOLER</t>
  </si>
  <si>
    <t>Samlet lønregulering</t>
  </si>
  <si>
    <t>Procent</t>
  </si>
  <si>
    <t>(i alt 5,5% fordelt over en  3-årig periode)</t>
  </si>
  <si>
    <r>
      <rPr>
        <b/>
        <sz val="11"/>
        <rFont val="Arial"/>
        <family val="2"/>
      </rPr>
      <t>Pension</t>
    </r>
    <r>
      <rPr>
        <sz val="11"/>
        <rFont val="Arial"/>
        <family val="2"/>
      </rPr>
      <t>: beregnes af bruttoindkomst og det samlede pensionsbidrag udgør for hele overenskomstperioden: 17,3%</t>
    </r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</si>
  <si>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</si>
  <si>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</si>
  <si>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</si>
  <si>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</si>
  <si>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</si>
  <si>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</si>
  <si>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</si>
  <si>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</si>
  <si>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</si>
  <si>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</si>
  <si>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Uddannede pædagoer</t>
  </si>
  <si>
    <t>Anderledes pæd. Uddannede(Lukket gruppe)</t>
  </si>
  <si>
    <t>Ikke pædagoguddannede</t>
  </si>
  <si>
    <t>Ikke pædagoguddannede med PGU eller PAU</t>
  </si>
  <si>
    <t>27, 29, 31, 33, 36</t>
  </si>
  <si>
    <t>20, 23, 25, 27, 29, 31, 33, 36</t>
  </si>
  <si>
    <t>14, 15, 16, 17, 19</t>
  </si>
  <si>
    <t>20, 21, 24, 25, 27</t>
  </si>
  <si>
    <t>Pædagoguddannede</t>
  </si>
  <si>
    <t>Plus 2 trin</t>
  </si>
  <si>
    <t>Plus 6 trin</t>
  </si>
  <si>
    <t>Antal ekstra skalatrin i forhold til ordninger med daglig leder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</si>
  <si>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</si>
  <si>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</si>
  <si>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</si>
  <si>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</si>
  <si>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</si>
  <si>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</si>
  <si>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</si>
  <si>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</si>
  <si>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</si>
  <si>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</si>
  <si>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</si>
  <si>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</si>
  <si>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</si>
  <si>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</si>
  <si>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</si>
  <si>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</si>
  <si>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</si>
  <si>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</si>
  <si>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 xml:space="preserve">Ansatte med ret til tjenestemandspension, skal dog have supplerende pension i Lærernes Pension på 18% for lønddele, der overstiger slutskalatrin incl. 2 ekstra trin. For lærere: Skalatrin 42, for bhkl.ledere: trin 33. 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</si>
  <si>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</si>
  <si>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</si>
  <si>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</si>
  <si>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</si>
  <si>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</si>
  <si>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</si>
  <si>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</si>
  <si>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</si>
  <si>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t>Som supplement til fanen over løn "BUPL" vises her oversigten over det pædagogiske personales lønforløb. Skalatrinsbeløbene, tillæg, pension mm., fremgår af fanen "BUPL".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</si>
  <si>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</si>
  <si>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</si>
  <si>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</si>
  <si>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>40, 42</t>
  </si>
  <si>
    <t>40, 42, 44</t>
  </si>
  <si>
    <t xml:space="preserve">Pensionsgivende </t>
  </si>
  <si>
    <t>Se skolens aftale</t>
  </si>
  <si>
    <t>Afhængig af BG</t>
  </si>
  <si>
    <t>Lønforløb for øvrigt pædagogisk personale (oprykning efter 2 års anciennitet)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</si>
  <si>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</si>
  <si>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</si>
  <si>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</si>
  <si>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Ikke pædagoguddannede - herunder PGU/PAU</t>
  </si>
  <si>
    <t>ATP til timelønnede: Arbejdsgiverandel pr. time kr. 1,34, arbejderstagerandel pr. time kr. 0,67.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</si>
  <si>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</si>
  <si>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</si>
  <si>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</si>
  <si>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</si>
  <si>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</si>
  <si>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Gruppelivspræmie øvrige ansatte (Aftale nr. 26001) - sats gældende fra 01/01/2016</t>
  </si>
  <si>
    <t>Udligningstillæg - Beregnet ved overgang fra skalatrinsløn til basisløn aug. 2004</t>
  </si>
  <si>
    <t>Ordninger med 31-150 børn:</t>
  </si>
  <si>
    <t>Ordninger med 151 børn og derover:</t>
  </si>
  <si>
    <t>Løn - anden praktikperiode</t>
  </si>
  <si>
    <t>Løn  - tredje praktikperiode</t>
  </si>
  <si>
    <t>gældende for perioden 1. april 2016 - 31. marts 2018</t>
  </si>
  <si>
    <t>Evt. funktionstillæg - beløbet aftales</t>
  </si>
  <si>
    <t>Tillæg til for skoleledere, viceskoleinspektører, afdelingsinspektører, viceafdelingsinspektører og afdelingsledere</t>
  </si>
  <si>
    <t>Midlertidigt løntillæg</t>
  </si>
  <si>
    <r>
      <t xml:space="preserve">Der kan - </t>
    </r>
    <r>
      <rPr>
        <b/>
        <i/>
        <sz val="11"/>
        <color theme="1"/>
        <rFont val="Arial"/>
        <family val="2"/>
      </rPr>
      <t>inden for lønintervallet</t>
    </r>
    <r>
      <rPr>
        <sz val="11"/>
        <color theme="1"/>
        <rFont val="Arial"/>
        <family val="2"/>
      </rPr>
      <t xml:space="preserve"> - aftales et midlertidigt løntillæg, når dette er begrundet i tidsbegrænset varetagelse af særlige funktioner eller opgaver.</t>
    </r>
  </si>
  <si>
    <t>Udover intervallønnen kan der aftales resultatløn samt aftale om honorering af særlig indsats - dette i henhold til bemyndigelsesskrivelser fra Undervisningsministeriet.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</si>
  <si>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</si>
  <si>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</si>
  <si>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r>
      <t xml:space="preserve">Månedsløn  </t>
    </r>
    <r>
      <rPr>
        <b/>
        <sz val="10"/>
        <rFont val="Arial"/>
        <family val="2"/>
      </rPr>
      <t>- reguleret med gældende reguleringsprocent</t>
    </r>
  </si>
  <si>
    <r>
      <t xml:space="preserve">Timelønnede  </t>
    </r>
    <r>
      <rPr>
        <b/>
        <sz val="10"/>
        <rFont val="Arial"/>
        <family val="2"/>
      </rPr>
      <t>- reguleret med gældende reguleringsprocent</t>
    </r>
  </si>
  <si>
    <r>
      <t>Månedsløn</t>
    </r>
    <r>
      <rPr>
        <b/>
        <sz val="10"/>
        <rFont val="Arial"/>
        <family val="2"/>
      </rPr>
      <t xml:space="preserve"> -er reguleret med gældende reguleringsprocent</t>
    </r>
  </si>
  <si>
    <t>OK 13-tillæg.</t>
  </si>
  <si>
    <t xml:space="preserve">For lærere og bh.kl.ledere med tjenestemandspension er de "pensionsgivende løndele" ikke nødvendigvis pensionsgivende, bortset fra soucheftillæg og  </t>
  </si>
  <si>
    <t>Pensionsgivende</t>
  </si>
  <si>
    <t>Områdetillæg pr. måned</t>
  </si>
  <si>
    <t xml:space="preserve">OK-2008 tillæg </t>
  </si>
  <si>
    <t xml:space="preserve">Særligt OK-2013 tillæg </t>
  </si>
  <si>
    <t>Pensionsgivende for ansatte med lærernes pension</t>
  </si>
  <si>
    <t xml:space="preserve">Souscheftillæg </t>
  </si>
  <si>
    <t>Ikke pensionsgivende</t>
  </si>
  <si>
    <t xml:space="preserve">Tillæg til specialundervisning </t>
  </si>
  <si>
    <t xml:space="preserve">Tillæg til specialundervisning af svært handikappede elever, til hvem skolen modtager ekstra tilskud i henhold til Lov om friskoler og private grundskoler mv.§11, samt til støtteundervisning i dansk for tosprogede elever </t>
  </si>
  <si>
    <t>Arbejdstidsbestemte tillæg</t>
  </si>
  <si>
    <t>Løninterval</t>
  </si>
  <si>
    <t>Afdelingsledere ved en kostskoles boafdeling</t>
  </si>
  <si>
    <t>Resultatløn samt engangsvederlag</t>
  </si>
  <si>
    <t>Beløbsgrænse for engangsvederlag hvori der også er aftalt resultatløn</t>
  </si>
  <si>
    <t>Beløbsgrænse for engangsvederlag uden aftalt resultatløn</t>
  </si>
  <si>
    <t>Afhængig af beskæftigelsesgraden. Den pensionsberettigede løn er pensionsberettiget</t>
  </si>
  <si>
    <t>Afhængigt  af beskæftigelsesgraden. Pensionsgivende</t>
  </si>
  <si>
    <t>Overenskomsttillæg pr. 1. august 2015 (gælder IKKE lederere og lukkede grupper)</t>
  </si>
  <si>
    <t>Afhængigt af beskæftigelsesgraden samt pensionsgivende for ansatte med lærernes pension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</si>
  <si>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</si>
  <si>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</si>
  <si>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</si>
  <si>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</si>
  <si>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</si>
  <si>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>Praktikansvarlige</t>
  </si>
  <si>
    <t>Tillægget er et mdr. tillæg</t>
  </si>
  <si>
    <t xml:space="preserve">DENNE LØNTABEL GÆLDER ALENE ANSATTE OK MELLEM 3F og følgende skoleforrenigner:                                                                                      </t>
  </si>
  <si>
    <t>Årligt tillæg- udbetales med 1/12 pr. md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</si>
  <si>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</si>
  <si>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</si>
  <si>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</si>
  <si>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</si>
  <si>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Sekretærer, IT-medarbejdere og andre administrative medarbejdere</t>
  </si>
  <si>
    <t>Denne løntabel gælder alene for ansatte, der har tilsluttet sig Landsoverenskomst 2015-2018 mellem Lilleskolernes sammenslutning og HK/Privat</t>
  </si>
  <si>
    <t>Afhængigt af beskæftigelsesgraden og pensiongivende</t>
  </si>
  <si>
    <t xml:space="preserve">Basisløn for sekretærer, IT-medarbejdere og andre adm. medarbejdere </t>
  </si>
  <si>
    <t>Strategi/langtidsplanlæg.</t>
  </si>
  <si>
    <r>
      <t>Lønnens sammensætning:</t>
    </r>
    <r>
      <rPr>
        <sz val="11"/>
        <rFont val="Arial"/>
        <family val="2"/>
      </rPr>
      <t xml:space="preserve"> Grundløn, relevante funktionstillæg samt individuelt forhandlet personligt tillæg</t>
    </r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</si>
  <si>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</si>
  <si>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</si>
  <si>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</si>
  <si>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</si>
  <si>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Lilleskolerne, Dansk Friskoleforening, Foreningen af Kristne Friskoler samt Deutche Schul- und spracherein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</si>
  <si>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</si>
  <si>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</si>
  <si>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</si>
  <si>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</si>
  <si>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</si>
  <si>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</si>
  <si>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 xml:space="preserve">Ansatte under BUPL </t>
  </si>
  <si>
    <t>Ansatte under 3F</t>
  </si>
  <si>
    <t>Samt andre gældende satser</t>
  </si>
  <si>
    <t>Beløb</t>
  </si>
  <si>
    <t>Beløb pr. år</t>
  </si>
  <si>
    <t>Grundbeløb pr. time</t>
  </si>
  <si>
    <t>Beløb pr. time</t>
  </si>
  <si>
    <t>Pensionsgivende løn pr. mdr.</t>
  </si>
  <si>
    <t>Pensionsbidrag 15%</t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</si>
  <si>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</si>
  <si>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</si>
  <si>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</si>
  <si>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</si>
  <si>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</si>
  <si>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Tillæg til specialuv. af svært handikappede elever eller 2-sprogede.</t>
  </si>
  <si>
    <r>
      <rPr>
        <b/>
        <sz val="11"/>
        <color theme="1"/>
        <rFont val="Arial"/>
        <family val="2"/>
      </rPr>
      <t>Ulempetillæg: 25% af nettotimelønnen.</t>
    </r>
    <r>
      <rPr>
        <sz val="11"/>
        <color theme="1"/>
        <rFont val="Arial"/>
        <family val="2"/>
      </rPr>
      <t xml:space="preserve"> Ydes på hverdage fra kl. 17.00-06.00. I weekender fra kl. 00.00-søndag kl. 24.00. Søgnehelligdage fra kl.00.00 til kl. 24.00. Grundlovsdag efter kl. 12:00 samt juleaftensdag efter kl. 14.00.</t>
    </r>
  </si>
  <si>
    <r>
      <rPr>
        <b/>
        <sz val="11"/>
        <color theme="1"/>
        <rFont val="Arial"/>
        <family val="2"/>
      </rPr>
      <t xml:space="preserve">Weekendtillæg: Nettotimelønnen + 50%:  </t>
    </r>
    <r>
      <rPr>
        <sz val="11"/>
        <color theme="1"/>
        <rFont val="Arial"/>
        <family val="2"/>
      </rPr>
      <t>Ydes fra fredag kl. 00.00 - søndag kl. 24.00 samt søgnehelligdage fra kl. 00.00-24.00.</t>
    </r>
  </si>
  <si>
    <t>I alt 17,1%*</t>
  </si>
  <si>
    <t>Rektor ved private gymnasieskoler</t>
  </si>
  <si>
    <t>o. 700</t>
  </si>
  <si>
    <t>u. 700</t>
  </si>
  <si>
    <t>I alt 16,8%</t>
  </si>
  <si>
    <t>Pensionsbidrag til MP</t>
  </si>
  <si>
    <t>Pensionsgivende løntillæg til lønnen som adjunkt/lektor</t>
  </si>
  <si>
    <t>Ledende inspektor (stedfortræder for rektor)*</t>
  </si>
  <si>
    <t>Pædagogisk faglige koordinatoerer</t>
  </si>
  <si>
    <t>Stillings-gruppe</t>
  </si>
  <si>
    <t>Pædagogiske ledere under rektorniveau</t>
  </si>
  <si>
    <t>Tillæg for kostinspektion for lærere uden tjenestebolig</t>
  </si>
  <si>
    <t>* Såfremt vejledningen udføres af flere lærere, deles tillægget forholdsmæssigt</t>
  </si>
  <si>
    <t>Vejledning ved pædagogikumuddannelsen *</t>
  </si>
  <si>
    <t>Biologi, fysik og kemi samlet forløb</t>
  </si>
  <si>
    <t>0 - B</t>
  </si>
  <si>
    <t>B - A</t>
  </si>
  <si>
    <t>Biologi, fysik og kemi</t>
  </si>
  <si>
    <t>C - B</t>
  </si>
  <si>
    <t>0 - C</t>
  </si>
  <si>
    <t>C</t>
  </si>
  <si>
    <t>Billedkunst, mediefag, drama og musik</t>
  </si>
  <si>
    <t>Niveau</t>
  </si>
  <si>
    <t>Undervisning i visse fag - tillæg pr. forløb pr. klasse/hold</t>
  </si>
  <si>
    <t xml:space="preserve">801 - </t>
  </si>
  <si>
    <t>601 - 800</t>
  </si>
  <si>
    <t>401 - 600</t>
  </si>
  <si>
    <t>201 - 400</t>
  </si>
  <si>
    <t>Elevtal i gymnasiet</t>
  </si>
  <si>
    <t>Tilsyn med biologi/geografi</t>
  </si>
  <si>
    <t>Tilsyn med fysik/kemi</t>
  </si>
  <si>
    <t>7. år og følgende</t>
  </si>
  <si>
    <t>5. år</t>
  </si>
  <si>
    <t>4. år</t>
  </si>
  <si>
    <t>3. år</t>
  </si>
  <si>
    <t>2. år</t>
  </si>
  <si>
    <t>1. år</t>
  </si>
  <si>
    <t>Centralt aftalt kvalifikationstillæg - anciennitet</t>
  </si>
  <si>
    <t>Løntrin*</t>
  </si>
  <si>
    <t>Gymnasielærere   (adjunkt/lektor)</t>
  </si>
  <si>
    <t>Lærere, pædagogiske ledere og rektorer ved gymnasiskolen</t>
  </si>
  <si>
    <t>Afhængigt af beskæftigelsesgraden samt pensionsgivende</t>
  </si>
  <si>
    <t>Tilsyn med samling og undervisning i visse fag</t>
  </si>
  <si>
    <t xml:space="preserve">Centralt  aftalte funktionstillæg </t>
  </si>
  <si>
    <t>Ikke afhængig af beskæftigelsesgraden. Pensionsgivende</t>
  </si>
  <si>
    <t>Tillægget ydes pr. kandidat. Ikke afhængig af beskæftigelsesgraden.  Pensionsgivende.</t>
  </si>
  <si>
    <t>Tillægget er ikke afhængig af beskæftigelsesgraden. Ikke pensionsgivende.</t>
  </si>
  <si>
    <t>Andre stillinger i gymnasieskolen:</t>
  </si>
  <si>
    <t>Intervalløn pr. år</t>
  </si>
  <si>
    <t>Min</t>
  </si>
  <si>
    <t>Maks</t>
  </si>
  <si>
    <t>Beløb pr. mdr.
Pr. måned</t>
  </si>
  <si>
    <t xml:space="preserve">Aftalt løn kr. 31.000,- pr. Måned </t>
  </si>
  <si>
    <t xml:space="preserve">Undervisningstillæg </t>
  </si>
  <si>
    <t>*) indtil 20.000 km pr. år derefter 1,94</t>
  </si>
  <si>
    <t>Time- og dagpenge</t>
  </si>
  <si>
    <t>Viceinspektører og viceafd.inspektører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</si>
  <si>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</si>
  <si>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* Nyudpegning af andre inspektorer kan ikke finde sted.</t>
  </si>
  <si>
    <t>ATPbidrag fra 1. januar 2018</t>
  </si>
  <si>
    <t>Pr. døgn á 24 timer</t>
  </si>
  <si>
    <t>Fag</t>
  </si>
  <si>
    <t>6. År</t>
  </si>
  <si>
    <t>Cand. phil</t>
  </si>
  <si>
    <t>Løntrin</t>
  </si>
  <si>
    <t>1. - 3.</t>
  </si>
  <si>
    <t>4.-5.</t>
  </si>
  <si>
    <t>6. og frem</t>
  </si>
  <si>
    <t xml:space="preserve">1.-3. </t>
  </si>
  <si>
    <t xml:space="preserve">4.-7. </t>
  </si>
  <si>
    <t>8. og frem</t>
  </si>
  <si>
    <t>Lønramme 37, som består af skalatrin 50</t>
  </si>
  <si>
    <t>0 - A</t>
  </si>
  <si>
    <t>*Lønforløb afhænger af uddannelsesmæssig baggrund og anciennitet</t>
  </si>
  <si>
    <t>Lærere, ledere og børnehaveklasseledere ved grundskoler</t>
  </si>
  <si>
    <t>Rektorer, ledere og lærere ved gymnasieskoler</t>
  </si>
  <si>
    <t xml:space="preserve">Pensionsbidrag </t>
  </si>
  <si>
    <t>Supplerende pension: Opmærksomheden henledes på ansatte med ret til tjenestemandspension. Ansatte med ret til tjenestemandspension, skal have supplerende pension i Lærernes Pension på 18% for lønddele, der overstiger slutskalatrin incl. 2 ekstra trin. For lærere: Skalatrin 42, for bhkl.ledere: trin 33. Ansatte med ret til tjenestemandspension, skal have supplerende pension i Lærernes Pension på 18% for lønddele, der overstiger slutskalatrin incl. 2 ekstra trin. For lærere: Skalatrin 42, for bhkl.ledere: trin 33. For løndele under slutskalatrin incl. 2 skalatrin skal supplerende pension indbetales med 17,3%, såfremt supplerende pension er aftalt.</t>
  </si>
  <si>
    <t>er reguleret med gældende reguleringsprocent</t>
  </si>
  <si>
    <t>Månedsløn til afd. ledere</t>
  </si>
  <si>
    <t>Overenskomsttillæg pr. 1 august 2015: kr. 2.000,- i grundbeløb pr. år. Pr. 1. april 2017 yderligere kr. 2.000,- i grundbeløb pr. år.</t>
  </si>
  <si>
    <t>Godtgørelse for 2-delt tjeneste</t>
  </si>
  <si>
    <t>Godtgørelse for 3-delt tjeneste</t>
  </si>
  <si>
    <t>Godtgørelse for omlagt tjeneste</t>
  </si>
  <si>
    <t>Pensions-bidrag til MP</t>
  </si>
  <si>
    <t>Pensiongivende løn</t>
  </si>
  <si>
    <t>for ansatte på de frie skoler</t>
  </si>
  <si>
    <t>Der indbetales pensionsbidrag på 16,8 % til MP.</t>
  </si>
  <si>
    <t>* Den del af pensionsbidraget, der ligger over 16,8% kan efter den ansattes eget valg udmøntes som løn. For valg af pensionsselskab se Overenskomst for akademikere i Staten bilag A. Udover skalatrinslønnen kan der ydes tilllæg efter lokal aftale i henhold bemyndigelse fra Undervisningsministeriet og efter Aftale om chefløn</t>
  </si>
  <si>
    <t xml:space="preserve">Magistre generelt </t>
  </si>
  <si>
    <t>Heraf anses 1/3 for medarbejderens egetbidrag</t>
  </si>
  <si>
    <t>30.09.2018</t>
  </si>
  <si>
    <t>Gældende fra 1. april 2018</t>
  </si>
  <si>
    <t>Denne løntabel er gældende indtil 30. september 2018</t>
  </si>
  <si>
    <t>Da overenskomsterne for BUPL, 3F og HK endnu ikke er  færdige, tager vi forbehold for evt. ændringer heri.</t>
  </si>
  <si>
    <t>Skalatrinslønnen nærmest herunder på skalatrin 40: kr. 30.934,08 pr. måned.</t>
  </si>
  <si>
    <t>Pensionstilsvaret bliver 15% af den pensionsgivende løn på skalatrin 40 = 15% af kr. 30.934,08 pr. måned = kr. 4.640,11</t>
  </si>
  <si>
    <t>Aftalt løn kr. 32.500,- pr. måned</t>
  </si>
  <si>
    <t>Pensionstilsvaret bliver 15% af den pensionsgivende løn på skalatrin 42 = 15% af kr. 32.238,42 pr. måned = kr. 4.835,76</t>
  </si>
  <si>
    <t>Godtgørelse for tjeneste på lørdage efter kl. 14:00, samt lørdage før kl. 14:00 såfremt  halvdelen af arb.tiden ligger efter kl. 14:00 plus Grundlovsdag efter kl. 12.00</t>
  </si>
  <si>
    <t>Bemærk:</t>
  </si>
  <si>
    <t>Denne løntabel er reguleret med den nye og gældende reguleringsprocent på 6,9683. Reguleringsprocenten er gældende fra d. 1. april 2018, hvilket betyder at lønnen for april og maj skal efterreguleres.</t>
  </si>
  <si>
    <t>01/04/2018</t>
  </si>
  <si>
    <t>Skalatrinslønnen nærmest herunder på skalatrin 42: kr. 32.238,42 pr. måned.</t>
  </si>
  <si>
    <t>Udgivet d. 12. juni 2018</t>
  </si>
  <si>
    <t>Ansatte under HK(Lilleskolerne)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</si>
</sst>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r_-;\-* #,##0.00\ _k_r_-;_-* &quot;-&quot;??\ _k_r_-;_-@_-"/>
    <numFmt numFmtId="164" formatCode="dd:mm:yyyy;@"/>
    <numFmt numFmtId="165" formatCode="0.0000"/>
    <numFmt numFmtId="166" formatCode="dd/mm/yy;@"/>
    <numFmt numFmtId="167" formatCode="_(* #,##0.00_);_(* \(#,##0.00\);_(* &quot;-&quot;??_);_(@_)"/>
    <numFmt numFmtId="168" formatCode="_(&quot;kr&quot;\ * #,##0.00_);_(&quot;kr&quot;\ * \(#,##0.00\);_(&quot;kr&quot;\ * &quot;-&quot;??_);_(@_)"/>
    <numFmt numFmtId="169" formatCode="_(&quot;kr&quot;\ * #,##0_);_(&quot;kr&quot;\ * \(#,##0\);_(&quot;kr&quot;\ * &quot;-&quot;??_);_(@_)"/>
  </numFmts>
  <fonts count="8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12"/>
      <color theme="1"/>
      <name val="Arial"/>
    </font>
    <font>
      <sz val="12"/>
      <name val="Arial"/>
      <family val="2"/>
    </font>
    <font>
      <sz val="12"/>
      <color indexed="8"/>
      <name val="Arial"/>
    </font>
    <font>
      <i/>
      <sz val="10"/>
      <name val="Arial"/>
    </font>
    <font>
      <i/>
      <sz val="12"/>
      <name val="Arial"/>
    </font>
    <font>
      <sz val="12"/>
      <name val="Times New Roman"/>
      <family val="1"/>
    </font>
    <font>
      <b/>
      <sz val="12"/>
      <color indexed="8"/>
      <name val="Arial"/>
      <family val="2"/>
    </font>
    <font>
      <i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Arial"/>
      <family val="2"/>
    </font>
    <font>
      <i/>
      <sz val="10"/>
      <color theme="0"/>
      <name val="Times New Roman"/>
      <family val="1"/>
    </font>
    <font>
      <b/>
      <sz val="11"/>
      <name val="Times New Roman"/>
      <family val="1"/>
    </font>
    <font>
      <b/>
      <sz val="16"/>
      <color theme="1"/>
      <name val="Ariel"/>
    </font>
    <font>
      <b/>
      <sz val="14"/>
      <color theme="1"/>
      <name val="Ariel"/>
    </font>
    <font>
      <sz val="12"/>
      <color theme="1"/>
      <name val="Ariel"/>
    </font>
    <font>
      <b/>
      <sz val="12"/>
      <color rgb="FF000000"/>
      <name val="Ariel"/>
    </font>
    <font>
      <b/>
      <sz val="12"/>
      <color theme="1"/>
      <name val="Ariel"/>
    </font>
    <font>
      <sz val="11"/>
      <color theme="1"/>
      <name val="Ariel"/>
    </font>
    <font>
      <sz val="11"/>
      <color rgb="FF000000"/>
      <name val="Ariel"/>
    </font>
    <font>
      <b/>
      <sz val="11"/>
      <color rgb="FF000000"/>
      <name val="Ariel"/>
    </font>
    <font>
      <b/>
      <sz val="11"/>
      <color theme="1"/>
      <name val="Ariel"/>
    </font>
    <font>
      <sz val="11"/>
      <color theme="0"/>
      <name val="Ariel"/>
    </font>
    <font>
      <b/>
      <sz val="16"/>
      <color theme="1"/>
      <name val="Arieloman"/>
    </font>
    <font>
      <sz val="10"/>
      <color theme="1"/>
      <name val="Ariel"/>
    </font>
    <font>
      <i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6795556505021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44" fillId="0" borderId="0" applyFont="0" applyFill="0" applyBorder="0" applyAlignment="0" applyProtection="0"/>
    <xf numFmtId="167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66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64" fontId="0" fillId="0" borderId="0" xfId="0" applyNumberFormat="1"/>
    <xf numFmtId="4" fontId="3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quotePrefix="1" applyFont="1" applyFill="1" applyBorder="1" applyAlignment="1">
      <alignment vertical="center" wrapText="1"/>
    </xf>
    <xf numFmtId="0" fontId="19" fillId="0" borderId="0" xfId="0" applyFont="1"/>
    <xf numFmtId="165" fontId="18" fillId="0" borderId="8" xfId="0" applyNumberFormat="1" applyFont="1" applyBorder="1"/>
    <xf numFmtId="0" fontId="23" fillId="0" borderId="0" xfId="0" applyFont="1"/>
    <xf numFmtId="0" fontId="20" fillId="0" borderId="0" xfId="0" applyFont="1"/>
    <xf numFmtId="0" fontId="21" fillId="0" borderId="0" xfId="0" applyFont="1"/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0" borderId="0" xfId="0" applyFont="1" applyBorder="1"/>
    <xf numFmtId="0" fontId="22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21" fillId="0" borderId="0" xfId="0" applyFont="1" applyBorder="1" applyAlignment="1">
      <alignment horizontal="center" wrapText="1"/>
    </xf>
    <xf numFmtId="0" fontId="20" fillId="3" borderId="0" xfId="0" applyFont="1" applyFill="1"/>
    <xf numFmtId="0" fontId="24" fillId="3" borderId="0" xfId="0" applyFont="1" applyFill="1"/>
    <xf numFmtId="165" fontId="18" fillId="3" borderId="8" xfId="0" applyNumberFormat="1" applyFont="1" applyFill="1" applyBorder="1"/>
    <xf numFmtId="0" fontId="2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Border="1"/>
    <xf numFmtId="0" fontId="10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30" fillId="0" borderId="0" xfId="0" applyFont="1"/>
    <xf numFmtId="0" fontId="14" fillId="3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2" fillId="3" borderId="0" xfId="0" applyFont="1" applyFill="1" applyBorder="1" applyAlignment="1">
      <alignment horizontal="center"/>
    </xf>
    <xf numFmtId="0" fontId="12" fillId="3" borderId="23" xfId="0" applyNumberFormat="1" applyFont="1" applyFill="1" applyBorder="1" applyAlignment="1">
      <alignment horizontal="right"/>
    </xf>
    <xf numFmtId="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30" fillId="0" borderId="0" xfId="0" applyFont="1" applyFill="1"/>
    <xf numFmtId="4" fontId="12" fillId="0" borderId="0" xfId="0" applyNumberFormat="1" applyFont="1" applyBorder="1" applyAlignment="1"/>
    <xf numFmtId="43" fontId="12" fillId="0" borderId="0" xfId="80" applyFont="1" applyBorder="1" applyAlignment="1">
      <alignment horizontal="right" vertical="center" wrapText="1"/>
    </xf>
    <xf numFmtId="43" fontId="12" fillId="3" borderId="0" xfId="80" applyFont="1" applyFill="1" applyBorder="1" applyAlignment="1">
      <alignment vertical="center"/>
    </xf>
    <xf numFmtId="43" fontId="12" fillId="0" borderId="0" xfId="80" applyFont="1" applyBorder="1" applyAlignment="1">
      <alignment horizontal="right" vertical="center"/>
    </xf>
    <xf numFmtId="43" fontId="12" fillId="0" borderId="0" xfId="80" applyFont="1" applyBorder="1" applyAlignment="1">
      <alignment horizontal="right"/>
    </xf>
    <xf numFmtId="0" fontId="12" fillId="3" borderId="0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4" fontId="12" fillId="3" borderId="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0" xfId="0" applyFont="1" applyFill="1"/>
    <xf numFmtId="0" fontId="3" fillId="3" borderId="0" xfId="0" applyFont="1" applyFill="1"/>
    <xf numFmtId="0" fontId="15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 wrapText="1"/>
    </xf>
    <xf numFmtId="14" fontId="28" fillId="5" borderId="0" xfId="0" applyNumberFormat="1" applyFont="1" applyFill="1" applyBorder="1" applyAlignment="1">
      <alignment horizontal="center" vertical="center"/>
    </xf>
    <xf numFmtId="14" fontId="12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/>
    <xf numFmtId="0" fontId="11" fillId="3" borderId="0" xfId="0" applyFont="1" applyFill="1" applyBorder="1" applyAlignment="1">
      <alignment vertical="center"/>
    </xf>
    <xf numFmtId="14" fontId="12" fillId="3" borderId="0" xfId="0" applyNumberFormat="1" applyFont="1" applyFill="1" applyBorder="1" applyAlignment="1">
      <alignment horizontal="center" wrapText="1"/>
    </xf>
    <xf numFmtId="0" fontId="14" fillId="4" borderId="56" xfId="0" applyFont="1" applyFill="1" applyBorder="1" applyAlignment="1">
      <alignment horizontal="left"/>
    </xf>
    <xf numFmtId="0" fontId="14" fillId="4" borderId="48" xfId="0" applyFont="1" applyFill="1" applyBorder="1" applyAlignment="1">
      <alignment horizontal="left"/>
    </xf>
    <xf numFmtId="14" fontId="31" fillId="3" borderId="0" xfId="0" applyNumberFormat="1" applyFont="1" applyFill="1" applyBorder="1" applyAlignment="1">
      <alignment horizontal="center"/>
    </xf>
    <xf numFmtId="4" fontId="14" fillId="0" borderId="0" xfId="0" applyNumberFormat="1" applyFont="1"/>
    <xf numFmtId="0" fontId="12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14" fontId="28" fillId="5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/>
    <xf numFmtId="0" fontId="3" fillId="3" borderId="0" xfId="0" applyFont="1" applyFill="1" applyBorder="1"/>
    <xf numFmtId="0" fontId="12" fillId="3" borderId="0" xfId="0" applyFont="1" applyFill="1" applyBorder="1" applyAlignment="1">
      <alignment horizontal="right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/>
    <xf numFmtId="14" fontId="31" fillId="3" borderId="0" xfId="0" applyNumberFormat="1" applyFont="1" applyFill="1" applyBorder="1" applyAlignment="1"/>
    <xf numFmtId="0" fontId="31" fillId="3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horizontal="left"/>
    </xf>
    <xf numFmtId="0" fontId="14" fillId="4" borderId="7" xfId="0" applyFont="1" applyFill="1" applyBorder="1" applyAlignment="1">
      <alignment horizontal="center" vertical="center"/>
    </xf>
    <xf numFmtId="14" fontId="14" fillId="4" borderId="7" xfId="0" applyNumberFormat="1" applyFont="1" applyFill="1" applyBorder="1" applyAlignment="1">
      <alignment horizontal="center"/>
    </xf>
    <xf numFmtId="14" fontId="14" fillId="4" borderId="9" xfId="0" applyNumberFormat="1" applyFont="1" applyFill="1" applyBorder="1" applyAlignment="1">
      <alignment horizontal="center"/>
    </xf>
    <xf numFmtId="14" fontId="14" fillId="3" borderId="0" xfId="0" applyNumberFormat="1" applyFont="1" applyFill="1" applyBorder="1" applyAlignment="1">
      <alignment horizontal="left" vertical="center" wrapTex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left" vertical="center"/>
    </xf>
    <xf numFmtId="0" fontId="12" fillId="4" borderId="62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14" fontId="18" fillId="3" borderId="7" xfId="0" applyNumberFormat="1" applyFont="1" applyFill="1" applyBorder="1" applyAlignment="1">
      <alignment horizontal="center"/>
    </xf>
    <xf numFmtId="0" fontId="20" fillId="4" borderId="42" xfId="0" applyFont="1" applyFill="1" applyBorder="1"/>
    <xf numFmtId="0" fontId="14" fillId="4" borderId="46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2" fillId="0" borderId="0" xfId="0" applyFont="1" applyBorder="1"/>
    <xf numFmtId="3" fontId="14" fillId="3" borderId="47" xfId="0" applyNumberFormat="1" applyFont="1" applyFill="1" applyBorder="1" applyAlignment="1">
      <alignment horizontal="center"/>
    </xf>
    <xf numFmtId="3" fontId="14" fillId="3" borderId="27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14" fontId="14" fillId="4" borderId="12" xfId="0" applyNumberFormat="1" applyFont="1" applyFill="1" applyBorder="1" applyAlignment="1">
      <alignment horizontal="center"/>
    </xf>
    <xf numFmtId="14" fontId="14" fillId="4" borderId="35" xfId="0" applyNumberFormat="1" applyFont="1" applyFill="1" applyBorder="1" applyAlignment="1">
      <alignment horizontal="center"/>
    </xf>
    <xf numFmtId="3" fontId="14" fillId="3" borderId="47" xfId="0" applyNumberFormat="1" applyFont="1" applyFill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44" xfId="0" applyNumberFormat="1" applyFont="1" applyFill="1" applyBorder="1" applyAlignment="1">
      <alignment horizontal="center"/>
    </xf>
    <xf numFmtId="3" fontId="14" fillId="3" borderId="44" xfId="0" applyNumberFormat="1" applyFont="1" applyFill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24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12" fillId="4" borderId="57" xfId="0" applyNumberFormat="1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wrapText="1"/>
    </xf>
    <xf numFmtId="4" fontId="12" fillId="3" borderId="49" xfId="0" applyNumberFormat="1" applyFont="1" applyFill="1" applyBorder="1" applyAlignment="1">
      <alignment horizontal="center" vertical="center" wrapText="1"/>
    </xf>
    <xf numFmtId="4" fontId="12" fillId="3" borderId="50" xfId="0" applyNumberFormat="1" applyFont="1" applyFill="1" applyBorder="1" applyAlignment="1">
      <alignment horizontal="center" vertical="center" wrapText="1"/>
    </xf>
    <xf numFmtId="4" fontId="12" fillId="3" borderId="4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37" fillId="0" borderId="0" xfId="0" applyFont="1"/>
    <xf numFmtId="0" fontId="0" fillId="3" borderId="0" xfId="0" applyFill="1" applyAlignment="1">
      <alignment horizontal="center"/>
    </xf>
    <xf numFmtId="14" fontId="14" fillId="3" borderId="0" xfId="0" applyNumberFormat="1" applyFont="1" applyFill="1" applyBorder="1" applyAlignment="1"/>
    <xf numFmtId="4" fontId="14" fillId="3" borderId="0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left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45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32" fillId="0" borderId="46" xfId="0" applyNumberFormat="1" applyFont="1" applyBorder="1" applyAlignment="1">
      <alignment horizontal="center"/>
    </xf>
    <xf numFmtId="0" fontId="14" fillId="0" borderId="49" xfId="0" applyNumberFormat="1" applyFont="1" applyBorder="1" applyAlignment="1">
      <alignment horizontal="center"/>
    </xf>
    <xf numFmtId="0" fontId="14" fillId="0" borderId="4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6" fontId="25" fillId="3" borderId="0" xfId="0" applyNumberFormat="1" applyFont="1" applyFill="1" applyAlignment="1">
      <alignment horizontal="center"/>
    </xf>
    <xf numFmtId="0" fontId="14" fillId="4" borderId="4" xfId="0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3" fontId="14" fillId="0" borderId="33" xfId="0" applyNumberFormat="1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2" fontId="14" fillId="0" borderId="39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4" fontId="32" fillId="0" borderId="45" xfId="0" applyNumberFormat="1" applyFont="1" applyBorder="1" applyAlignment="1">
      <alignment horizontal="center"/>
    </xf>
    <xf numFmtId="4" fontId="32" fillId="0" borderId="22" xfId="0" applyNumberFormat="1" applyFont="1" applyBorder="1" applyAlignment="1">
      <alignment horizontal="center"/>
    </xf>
    <xf numFmtId="4" fontId="14" fillId="0" borderId="31" xfId="0" applyNumberFormat="1" applyFont="1" applyBorder="1" applyAlignment="1">
      <alignment horizontal="center"/>
    </xf>
    <xf numFmtId="4" fontId="14" fillId="0" borderId="57" xfId="0" applyNumberFormat="1" applyFont="1" applyBorder="1" applyAlignment="1">
      <alignment horizontal="center"/>
    </xf>
    <xf numFmtId="4" fontId="14" fillId="0" borderId="62" xfId="0" applyNumberFormat="1" applyFont="1" applyBorder="1" applyAlignment="1">
      <alignment horizontal="center"/>
    </xf>
    <xf numFmtId="4" fontId="14" fillId="0" borderId="50" xfId="0" applyNumberFormat="1" applyFont="1" applyBorder="1" applyAlignment="1">
      <alignment horizontal="center"/>
    </xf>
    <xf numFmtId="4" fontId="14" fillId="0" borderId="41" xfId="0" applyNumberFormat="1" applyFont="1" applyBorder="1" applyAlignment="1">
      <alignment horizontal="center"/>
    </xf>
    <xf numFmtId="2" fontId="14" fillId="0" borderId="53" xfId="0" applyNumberFormat="1" applyFont="1" applyBorder="1" applyAlignment="1">
      <alignment horizontal="center"/>
    </xf>
    <xf numFmtId="0" fontId="14" fillId="3" borderId="3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center"/>
    </xf>
    <xf numFmtId="4" fontId="14" fillId="3" borderId="28" xfId="0" applyNumberFormat="1" applyFont="1" applyFill="1" applyBorder="1" applyAlignment="1">
      <alignment horizontal="center" vertical="center"/>
    </xf>
    <xf numFmtId="4" fontId="14" fillId="3" borderId="30" xfId="0" applyNumberFormat="1" applyFont="1" applyFill="1" applyBorder="1" applyAlignment="1">
      <alignment horizontal="center" vertical="center"/>
    </xf>
    <xf numFmtId="4" fontId="14" fillId="3" borderId="34" xfId="0" applyNumberFormat="1" applyFont="1" applyFill="1" applyBorder="1" applyAlignment="1">
      <alignment horizontal="center" vertical="center"/>
    </xf>
    <xf numFmtId="4" fontId="14" fillId="3" borderId="45" xfId="0" applyNumberFormat="1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49" xfId="0" applyNumberFormat="1" applyFont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4" fontId="14" fillId="0" borderId="40" xfId="0" applyNumberFormat="1" applyFont="1" applyBorder="1" applyAlignment="1">
      <alignment horizontal="right"/>
    </xf>
    <xf numFmtId="4" fontId="14" fillId="0" borderId="62" xfId="0" applyNumberFormat="1" applyFont="1" applyBorder="1" applyAlignment="1">
      <alignment horizontal="right"/>
    </xf>
    <xf numFmtId="4" fontId="14" fillId="0" borderId="33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14" fillId="0" borderId="46" xfId="0" applyNumberFormat="1" applyFont="1" applyBorder="1" applyAlignment="1">
      <alignment horizontal="right"/>
    </xf>
    <xf numFmtId="4" fontId="14" fillId="0" borderId="35" xfId="0" applyNumberFormat="1" applyFont="1" applyBorder="1" applyAlignment="1">
      <alignment horizontal="right"/>
    </xf>
    <xf numFmtId="4" fontId="14" fillId="0" borderId="50" xfId="0" applyNumberFormat="1" applyFont="1" applyBorder="1" applyAlignment="1">
      <alignment horizontal="right"/>
    </xf>
    <xf numFmtId="4" fontId="14" fillId="0" borderId="18" xfId="0" applyNumberFormat="1" applyFont="1" applyBorder="1" applyAlignment="1">
      <alignment horizontal="right"/>
    </xf>
    <xf numFmtId="4" fontId="14" fillId="0" borderId="25" xfId="0" applyNumberFormat="1" applyFont="1" applyBorder="1" applyAlignment="1">
      <alignment horizontal="right"/>
    </xf>
    <xf numFmtId="4" fontId="14" fillId="0" borderId="26" xfId="0" applyNumberFormat="1" applyFont="1" applyBorder="1" applyAlignment="1">
      <alignment horizontal="right"/>
    </xf>
    <xf numFmtId="4" fontId="14" fillId="0" borderId="5" xfId="0" applyNumberFormat="1" applyFont="1" applyBorder="1" applyAlignment="1">
      <alignment horizontal="right"/>
    </xf>
    <xf numFmtId="0" fontId="32" fillId="4" borderId="33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/>
    </xf>
    <xf numFmtId="4" fontId="32" fillId="0" borderId="40" xfId="0" applyNumberFormat="1" applyFont="1" applyBorder="1" applyAlignment="1">
      <alignment horizontal="right"/>
    </xf>
    <xf numFmtId="4" fontId="32" fillId="0" borderId="33" xfId="0" applyNumberFormat="1" applyFont="1" applyBorder="1" applyAlignment="1">
      <alignment horizontal="right"/>
    </xf>
    <xf numFmtId="4" fontId="14" fillId="0" borderId="6" xfId="0" applyNumberFormat="1" applyFont="1" applyBorder="1"/>
    <xf numFmtId="4" fontId="14" fillId="3" borderId="13" xfId="0" applyNumberFormat="1" applyFont="1" applyFill="1" applyBorder="1" applyAlignment="1">
      <alignment horizontal="center"/>
    </xf>
    <xf numFmtId="4" fontId="14" fillId="3" borderId="62" xfId="0" applyNumberFormat="1" applyFont="1" applyFill="1" applyBorder="1" applyAlignment="1">
      <alignment horizontal="center"/>
    </xf>
    <xf numFmtId="4" fontId="14" fillId="3" borderId="5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 wrapText="1"/>
    </xf>
    <xf numFmtId="4" fontId="12" fillId="0" borderId="62" xfId="0" applyNumberFormat="1" applyFont="1" applyBorder="1" applyAlignment="1">
      <alignment horizontal="center" vertical="center" wrapText="1"/>
    </xf>
    <xf numFmtId="4" fontId="12" fillId="0" borderId="49" xfId="0" applyNumberFormat="1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4" fontId="32" fillId="0" borderId="31" xfId="0" applyNumberFormat="1" applyFont="1" applyBorder="1" applyAlignment="1">
      <alignment horizontal="center"/>
    </xf>
    <xf numFmtId="14" fontId="12" fillId="3" borderId="7" xfId="0" applyNumberFormat="1" applyFont="1" applyFill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3" fontId="14" fillId="0" borderId="14" xfId="0" quotePrefix="1" applyNumberFormat="1" applyFont="1" applyBorder="1" applyAlignment="1">
      <alignment horizontal="center"/>
    </xf>
    <xf numFmtId="3" fontId="14" fillId="0" borderId="47" xfId="0" quotePrefix="1" applyNumberFormat="1" applyFont="1" applyBorder="1" applyAlignment="1">
      <alignment horizontal="center"/>
    </xf>
    <xf numFmtId="3" fontId="14" fillId="0" borderId="48" xfId="0" quotePrefix="1" applyNumberFormat="1" applyFont="1" applyBorder="1" applyAlignment="1">
      <alignment horizontal="center"/>
    </xf>
    <xf numFmtId="0" fontId="33" fillId="6" borderId="16" xfId="0" applyFont="1" applyFill="1" applyBorder="1" applyAlignment="1">
      <alignment horizontal="center" vertical="center"/>
    </xf>
    <xf numFmtId="0" fontId="40" fillId="0" borderId="0" xfId="709"/>
    <xf numFmtId="4" fontId="40" fillId="0" borderId="0" xfId="709" applyNumberFormat="1"/>
    <xf numFmtId="2" fontId="40" fillId="0" borderId="0" xfId="709" applyNumberFormat="1"/>
    <xf numFmtId="0" fontId="40" fillId="4" borderId="49" xfId="709" applyFill="1" applyBorder="1" applyAlignment="1">
      <alignment horizontal="center"/>
    </xf>
    <xf numFmtId="0" fontId="40" fillId="4" borderId="50" xfId="709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4" fontId="40" fillId="3" borderId="0" xfId="709" applyNumberFormat="1" applyFill="1" applyBorder="1" applyAlignment="1">
      <alignment horizontal="center" vertical="center"/>
    </xf>
    <xf numFmtId="4" fontId="40" fillId="3" borderId="0" xfId="709" applyNumberFormat="1" applyFill="1" applyBorder="1" applyAlignment="1">
      <alignment vertical="center"/>
    </xf>
    <xf numFmtId="4" fontId="14" fillId="0" borderId="46" xfId="0" applyNumberFormat="1" applyFont="1" applyBorder="1" applyAlignment="1">
      <alignment horizontal="center"/>
    </xf>
    <xf numFmtId="4" fontId="14" fillId="0" borderId="43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40" fillId="0" borderId="0" xfId="709" applyFont="1" applyBorder="1"/>
    <xf numFmtId="0" fontId="40" fillId="0" borderId="0" xfId="709" applyBorder="1"/>
    <xf numFmtId="4" fontId="40" fillId="0" borderId="0" xfId="709" applyNumberFormat="1" applyBorder="1"/>
    <xf numFmtId="2" fontId="40" fillId="0" borderId="0" xfId="709" applyNumberFormat="1" applyBorder="1"/>
    <xf numFmtId="0" fontId="42" fillId="0" borderId="0" xfId="709" applyFont="1" applyBorder="1"/>
    <xf numFmtId="0" fontId="42" fillId="0" borderId="0" xfId="709" applyFont="1" applyBorder="1" applyAlignment="1">
      <alignment horizontal="center"/>
    </xf>
    <xf numFmtId="165" fontId="40" fillId="0" borderId="0" xfId="709" applyNumberFormat="1" applyBorder="1" applyAlignment="1">
      <alignment horizontal="center"/>
    </xf>
    <xf numFmtId="165" fontId="40" fillId="0" borderId="0" xfId="709" applyNumberFormat="1" applyBorder="1"/>
    <xf numFmtId="0" fontId="43" fillId="0" borderId="0" xfId="709" applyFont="1"/>
    <xf numFmtId="168" fontId="43" fillId="0" borderId="0" xfId="775" applyFont="1"/>
    <xf numFmtId="0" fontId="43" fillId="0" borderId="0" xfId="709" applyFont="1" applyAlignment="1">
      <alignment horizontal="left"/>
    </xf>
    <xf numFmtId="0" fontId="38" fillId="0" borderId="0" xfId="709" applyFont="1" applyBorder="1" applyAlignment="1">
      <alignment horizontal="center"/>
    </xf>
    <xf numFmtId="167" fontId="38" fillId="0" borderId="0" xfId="773" applyFont="1" applyBorder="1" applyAlignment="1">
      <alignment horizontal="justify" wrapText="1"/>
    </xf>
    <xf numFmtId="0" fontId="14" fillId="4" borderId="47" xfId="0" applyFont="1" applyFill="1" applyBorder="1" applyAlignment="1">
      <alignment vertical="center" wrapText="1" shrinkToFit="1"/>
    </xf>
    <xf numFmtId="0" fontId="14" fillId="4" borderId="48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horizontal="left" vertical="center" wrapText="1" shrinkToFit="1"/>
    </xf>
    <xf numFmtId="167" fontId="14" fillId="0" borderId="0" xfId="773" applyFont="1"/>
    <xf numFmtId="0" fontId="38" fillId="0" borderId="0" xfId="709" applyFont="1"/>
    <xf numFmtId="167" fontId="38" fillId="0" borderId="0" xfId="773" applyFont="1"/>
    <xf numFmtId="0" fontId="48" fillId="0" borderId="0" xfId="709" applyFont="1"/>
    <xf numFmtId="4" fontId="38" fillId="0" borderId="0" xfId="709" applyNumberFormat="1" applyFont="1"/>
    <xf numFmtId="0" fontId="38" fillId="4" borderId="51" xfId="709" applyFont="1" applyFill="1" applyBorder="1"/>
    <xf numFmtId="0" fontId="38" fillId="4" borderId="52" xfId="709" applyFont="1" applyFill="1" applyBorder="1"/>
    <xf numFmtId="0" fontId="38" fillId="4" borderId="53" xfId="709" applyFont="1" applyFill="1" applyBorder="1"/>
    <xf numFmtId="0" fontId="14" fillId="4" borderId="36" xfId="0" applyFont="1" applyFill="1" applyBorder="1" applyAlignment="1">
      <alignment vertical="center" wrapText="1" shrinkToFit="1"/>
    </xf>
    <xf numFmtId="167" fontId="38" fillId="3" borderId="0" xfId="773" applyFont="1" applyFill="1" applyBorder="1" applyAlignment="1">
      <alignment horizontal="justify" wrapText="1"/>
    </xf>
    <xf numFmtId="0" fontId="38" fillId="3" borderId="0" xfId="709" applyFont="1" applyFill="1" applyBorder="1" applyAlignment="1">
      <alignment horizontal="center" vertical="top" wrapText="1"/>
    </xf>
    <xf numFmtId="0" fontId="38" fillId="3" borderId="19" xfId="709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vertical="center" wrapText="1" shrinkToFit="1"/>
    </xf>
    <xf numFmtId="0" fontId="43" fillId="4" borderId="48" xfId="709" applyFont="1" applyFill="1" applyBorder="1" applyAlignment="1"/>
    <xf numFmtId="0" fontId="38" fillId="4" borderId="50" xfId="709" applyFont="1" applyFill="1" applyBorder="1" applyAlignment="1">
      <alignment horizontal="center" vertical="top" wrapText="1"/>
    </xf>
    <xf numFmtId="0" fontId="50" fillId="0" borderId="0" xfId="709" applyFont="1" applyAlignment="1">
      <alignment horizontal="center" wrapText="1"/>
    </xf>
    <xf numFmtId="0" fontId="50" fillId="0" borderId="0" xfId="709" applyFont="1" applyAlignment="1">
      <alignment horizont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0" fontId="40" fillId="3" borderId="0" xfId="709" applyFill="1" applyBorder="1"/>
    <xf numFmtId="4" fontId="38" fillId="0" borderId="0" xfId="709" applyNumberFormat="1" applyFont="1" applyBorder="1" applyAlignment="1">
      <alignment horizontal="justify" wrapText="1"/>
    </xf>
    <xf numFmtId="2" fontId="38" fillId="0" borderId="0" xfId="709" applyNumberFormat="1" applyFont="1" applyBorder="1" applyAlignment="1">
      <alignment horizontal="right" wrapText="1"/>
    </xf>
    <xf numFmtId="4" fontId="38" fillId="0" borderId="0" xfId="709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center"/>
    </xf>
    <xf numFmtId="0" fontId="43" fillId="3" borderId="0" xfId="709" applyFont="1" applyFill="1" applyBorder="1" applyAlignment="1"/>
    <xf numFmtId="0" fontId="14" fillId="4" borderId="36" xfId="0" applyFont="1" applyFill="1" applyBorder="1" applyAlignment="1">
      <alignment horizontal="left" vertical="center" wrapText="1" shrinkToFit="1"/>
    </xf>
    <xf numFmtId="0" fontId="14" fillId="3" borderId="0" xfId="0" applyFont="1" applyFill="1" applyBorder="1" applyAlignment="1">
      <alignment horizontal="left" vertical="center" wrapText="1" shrinkToFit="1"/>
    </xf>
    <xf numFmtId="4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Border="1" applyAlignment="1">
      <alignment horizontal="center"/>
    </xf>
    <xf numFmtId="0" fontId="38" fillId="3" borderId="0" xfId="709" applyFont="1" applyFill="1" applyBorder="1"/>
    <xf numFmtId="0" fontId="38" fillId="4" borderId="48" xfId="709" applyFont="1" applyFill="1" applyBorder="1" applyAlignment="1"/>
    <xf numFmtId="0" fontId="38" fillId="4" borderId="56" xfId="709" applyFont="1" applyFill="1" applyBorder="1" applyAlignment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40" fillId="0" borderId="20" xfId="0" applyNumberFormat="1" applyFont="1" applyBorder="1" applyAlignment="1">
      <alignment horizontal="center" vertical="center" wrapText="1"/>
    </xf>
    <xf numFmtId="4" fontId="40" fillId="3" borderId="49" xfId="0" applyNumberFormat="1" applyFont="1" applyFill="1" applyBorder="1" applyAlignment="1">
      <alignment horizontal="center"/>
    </xf>
    <xf numFmtId="4" fontId="40" fillId="0" borderId="20" xfId="0" applyNumberFormat="1" applyFont="1" applyBorder="1" applyAlignment="1">
      <alignment horizontal="center"/>
    </xf>
    <xf numFmtId="4" fontId="40" fillId="0" borderId="49" xfId="0" applyNumberFormat="1" applyFont="1" applyBorder="1" applyAlignment="1">
      <alignment horizontal="center"/>
    </xf>
    <xf numFmtId="10" fontId="3" fillId="0" borderId="0" xfId="0" applyNumberFormat="1" applyFont="1" applyBorder="1"/>
    <xf numFmtId="4" fontId="14" fillId="0" borderId="44" xfId="0" applyNumberFormat="1" applyFont="1" applyBorder="1" applyAlignment="1">
      <alignment horizontal="center"/>
    </xf>
    <xf numFmtId="0" fontId="45" fillId="4" borderId="34" xfId="709" applyFont="1" applyFill="1" applyBorder="1" applyAlignment="1">
      <alignment horizontal="center" vertical="center" wrapText="1"/>
    </xf>
    <xf numFmtId="0" fontId="45" fillId="4" borderId="21" xfId="709" applyFont="1" applyFill="1" applyBorder="1" applyAlignment="1">
      <alignment horizontal="center" vertical="center" wrapText="1"/>
    </xf>
    <xf numFmtId="167" fontId="40" fillId="0" borderId="46" xfId="773" applyFont="1" applyBorder="1" applyAlignment="1">
      <alignment horizontal="center" wrapText="1"/>
    </xf>
    <xf numFmtId="167" fontId="40" fillId="0" borderId="34" xfId="773" applyFont="1" applyBorder="1" applyAlignment="1">
      <alignment horizontal="center" wrapText="1"/>
    </xf>
    <xf numFmtId="167" fontId="40" fillId="0" borderId="49" xfId="773" applyFont="1" applyBorder="1" applyAlignment="1">
      <alignment horizontal="center" wrapText="1"/>
    </xf>
    <xf numFmtId="4" fontId="40" fillId="0" borderId="44" xfId="709" applyNumberFormat="1" applyFont="1" applyBorder="1" applyAlignment="1">
      <alignment horizontal="center" wrapText="1"/>
    </xf>
    <xf numFmtId="2" fontId="40" fillId="0" borderId="49" xfId="709" applyNumberFormat="1" applyFont="1" applyBorder="1" applyAlignment="1">
      <alignment horizontal="center" wrapText="1"/>
    </xf>
    <xf numFmtId="4" fontId="40" fillId="0" borderId="49" xfId="709" applyNumberFormat="1" applyFont="1" applyBorder="1" applyAlignment="1">
      <alignment horizontal="center" wrapText="1"/>
    </xf>
    <xf numFmtId="167" fontId="40" fillId="0" borderId="43" xfId="773" applyFont="1" applyBorder="1" applyAlignment="1">
      <alignment horizontal="center" wrapText="1"/>
    </xf>
    <xf numFmtId="167" fontId="40" fillId="0" borderId="21" xfId="773" applyFont="1" applyBorder="1" applyAlignment="1">
      <alignment horizontal="center" wrapText="1"/>
    </xf>
    <xf numFmtId="167" fontId="40" fillId="0" borderId="50" xfId="773" applyFont="1" applyBorder="1" applyAlignment="1">
      <alignment horizontal="center" wrapText="1"/>
    </xf>
    <xf numFmtId="4" fontId="40" fillId="0" borderId="56" xfId="709" applyNumberFormat="1" applyFont="1" applyBorder="1" applyAlignment="1">
      <alignment horizontal="center" wrapText="1"/>
    </xf>
    <xf numFmtId="2" fontId="40" fillId="0" borderId="50" xfId="709" applyNumberFormat="1" applyFont="1" applyBorder="1" applyAlignment="1">
      <alignment horizontal="center" wrapText="1"/>
    </xf>
    <xf numFmtId="4" fontId="40" fillId="0" borderId="50" xfId="709" applyNumberFormat="1" applyFont="1" applyBorder="1" applyAlignment="1">
      <alignment horizontal="center" wrapText="1"/>
    </xf>
    <xf numFmtId="0" fontId="40" fillId="4" borderId="46" xfId="709" applyFont="1" applyFill="1" applyBorder="1" applyAlignment="1">
      <alignment horizontal="center" vertical="top" wrapText="1"/>
    </xf>
    <xf numFmtId="0" fontId="40" fillId="4" borderId="43" xfId="709" applyFont="1" applyFill="1" applyBorder="1" applyAlignment="1">
      <alignment horizontal="center" vertical="top" wrapText="1"/>
    </xf>
    <xf numFmtId="167" fontId="40" fillId="3" borderId="48" xfId="773" applyFont="1" applyFill="1" applyBorder="1" applyAlignment="1">
      <alignment horizontal="center" vertical="center" wrapText="1"/>
    </xf>
    <xf numFmtId="167" fontId="40" fillId="3" borderId="50" xfId="773" applyFont="1" applyFill="1" applyBorder="1" applyAlignment="1">
      <alignment horizontal="center" vertical="center" wrapText="1"/>
    </xf>
    <xf numFmtId="167" fontId="40" fillId="3" borderId="36" xfId="773" applyFont="1" applyFill="1" applyBorder="1" applyAlignment="1">
      <alignment horizontal="center" vertical="center" wrapText="1"/>
    </xf>
    <xf numFmtId="0" fontId="40" fillId="4" borderId="50" xfId="709" applyFont="1" applyFill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/>
    </xf>
    <xf numFmtId="4" fontId="12" fillId="0" borderId="62" xfId="0" applyNumberFormat="1" applyFont="1" applyBorder="1" applyAlignment="1">
      <alignment horizontal="center"/>
    </xf>
    <xf numFmtId="2" fontId="12" fillId="0" borderId="45" xfId="0" applyNumberFormat="1" applyFont="1" applyBorder="1" applyAlignment="1">
      <alignment horizontal="center"/>
    </xf>
    <xf numFmtId="4" fontId="12" fillId="0" borderId="49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4" fontId="12" fillId="0" borderId="50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4" fontId="12" fillId="0" borderId="41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167" fontId="38" fillId="3" borderId="0" xfId="773" applyFont="1" applyFill="1" applyBorder="1" applyAlignment="1">
      <alignment wrapText="1"/>
    </xf>
    <xf numFmtId="0" fontId="43" fillId="3" borderId="0" xfId="709" applyFont="1" applyFill="1" applyBorder="1"/>
    <xf numFmtId="4" fontId="38" fillId="3" borderId="0" xfId="709" applyNumberFormat="1" applyFont="1" applyFill="1" applyBorder="1" applyAlignment="1">
      <alignment horizontal="justify" vertical="center" wrapText="1"/>
    </xf>
    <xf numFmtId="2" fontId="38" fillId="3" borderId="0" xfId="709" applyNumberFormat="1" applyFont="1" applyFill="1" applyBorder="1" applyAlignment="1">
      <alignment horizontal="right" vertical="center" wrapText="1"/>
    </xf>
    <xf numFmtId="4" fontId="38" fillId="3" borderId="0" xfId="709" applyNumberFormat="1" applyFont="1" applyFill="1" applyBorder="1" applyAlignment="1">
      <alignment horizontal="right" vertical="center" wrapText="1"/>
    </xf>
    <xf numFmtId="168" fontId="38" fillId="0" borderId="0" xfId="775" applyFont="1"/>
    <xf numFmtId="0" fontId="42" fillId="4" borderId="49" xfId="709" applyFont="1" applyFill="1" applyBorder="1" applyAlignment="1">
      <alignment horizontal="left" vertical="top" wrapText="1"/>
    </xf>
    <xf numFmtId="0" fontId="42" fillId="4" borderId="50" xfId="709" applyFont="1" applyFill="1" applyBorder="1" applyAlignment="1">
      <alignment horizontal="left" vertical="top" wrapText="1"/>
    </xf>
    <xf numFmtId="0" fontId="42" fillId="4" borderId="44" xfId="709" applyFont="1" applyFill="1" applyBorder="1" applyAlignment="1">
      <alignment horizontal="left" vertical="top" wrapText="1"/>
    </xf>
    <xf numFmtId="0" fontId="42" fillId="4" borderId="56" xfId="709" applyFont="1" applyFill="1" applyBorder="1" applyAlignment="1">
      <alignment horizontal="left" vertical="top" wrapText="1"/>
    </xf>
    <xf numFmtId="167" fontId="40" fillId="0" borderId="0" xfId="773" applyFont="1" applyBorder="1" applyAlignment="1">
      <alignment wrapText="1"/>
    </xf>
    <xf numFmtId="4" fontId="40" fillId="0" borderId="0" xfId="709" applyNumberFormat="1" applyFont="1" applyBorder="1" applyAlignment="1">
      <alignment wrapText="1"/>
    </xf>
    <xf numFmtId="2" fontId="40" fillId="0" borderId="0" xfId="709" applyNumberFormat="1" applyFont="1" applyBorder="1" applyAlignment="1">
      <alignment wrapText="1"/>
    </xf>
    <xf numFmtId="0" fontId="42" fillId="3" borderId="0" xfId="709" applyFont="1" applyFill="1" applyBorder="1" applyAlignment="1">
      <alignment horizontal="left" vertical="top" wrapText="1"/>
    </xf>
    <xf numFmtId="0" fontId="40" fillId="0" borderId="0" xfId="709" applyFont="1"/>
    <xf numFmtId="10" fontId="38" fillId="3" borderId="0" xfId="774" applyNumberFormat="1" applyFont="1" applyFill="1" applyBorder="1" applyAlignment="1">
      <alignment horizontal="center" vertical="top"/>
    </xf>
    <xf numFmtId="14" fontId="38" fillId="3" borderId="0" xfId="0" applyNumberFormat="1" applyFont="1" applyFill="1" applyBorder="1" applyAlignment="1">
      <alignment horizontal="center"/>
    </xf>
    <xf numFmtId="2" fontId="38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/>
    <xf numFmtId="14" fontId="38" fillId="3" borderId="0" xfId="0" applyNumberFormat="1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center"/>
    </xf>
    <xf numFmtId="4" fontId="38" fillId="3" borderId="0" xfId="0" applyNumberFormat="1" applyFont="1" applyFill="1" applyBorder="1" applyAlignment="1">
      <alignment horizontal="center"/>
    </xf>
    <xf numFmtId="0" fontId="40" fillId="3" borderId="0" xfId="709" applyFont="1" applyFill="1" applyBorder="1" applyAlignment="1">
      <alignment horizontal="center"/>
    </xf>
    <xf numFmtId="4" fontId="40" fillId="3" borderId="0" xfId="709" applyNumberFormat="1" applyFont="1" applyFill="1" applyBorder="1" applyAlignment="1">
      <alignment horizontal="center"/>
    </xf>
    <xf numFmtId="14" fontId="42" fillId="4" borderId="41" xfId="709" applyNumberFormat="1" applyFont="1" applyFill="1" applyBorder="1" applyAlignment="1">
      <alignment horizontal="center" vertical="top"/>
    </xf>
    <xf numFmtId="14" fontId="42" fillId="4" borderId="41" xfId="774" applyNumberFormat="1" applyFont="1" applyFill="1" applyBorder="1" applyAlignment="1">
      <alignment horizontal="center" vertical="top"/>
    </xf>
    <xf numFmtId="14" fontId="42" fillId="4" borderId="42" xfId="709" applyNumberFormat="1" applyFont="1" applyFill="1" applyBorder="1" applyAlignment="1">
      <alignment horizontal="center" vertical="top"/>
    </xf>
    <xf numFmtId="14" fontId="42" fillId="4" borderId="23" xfId="709" applyNumberFormat="1" applyFont="1" applyFill="1" applyBorder="1" applyAlignment="1">
      <alignment horizontal="center" vertical="top"/>
    </xf>
    <xf numFmtId="14" fontId="42" fillId="4" borderId="16" xfId="709" applyNumberFormat="1" applyFont="1" applyFill="1" applyBorder="1" applyAlignment="1">
      <alignment horizontal="center" vertical="top"/>
    </xf>
    <xf numFmtId="14" fontId="42" fillId="4" borderId="17" xfId="774" applyNumberFormat="1" applyFont="1" applyFill="1" applyBorder="1" applyAlignment="1">
      <alignment horizontal="center" vertical="top"/>
    </xf>
    <xf numFmtId="14" fontId="42" fillId="4" borderId="41" xfId="709" applyNumberFormat="1" applyFont="1" applyFill="1" applyBorder="1" applyAlignment="1">
      <alignment horizontal="center" vertical="top" wrapText="1"/>
    </xf>
    <xf numFmtId="14" fontId="42" fillId="4" borderId="51" xfId="709" applyNumberFormat="1" applyFont="1" applyFill="1" applyBorder="1" applyAlignment="1">
      <alignment horizontal="center" vertical="top" wrapText="1"/>
    </xf>
    <xf numFmtId="14" fontId="42" fillId="4" borderId="53" xfId="709" applyNumberFormat="1" applyFont="1" applyFill="1" applyBorder="1" applyAlignment="1">
      <alignment horizontal="center" vertical="top" wrapText="1"/>
    </xf>
    <xf numFmtId="0" fontId="40" fillId="4" borderId="34" xfId="709" applyFont="1" applyFill="1" applyBorder="1" applyAlignment="1">
      <alignment horizontal="left" vertical="center" wrapText="1"/>
    </xf>
    <xf numFmtId="0" fontId="40" fillId="4" borderId="21" xfId="709" applyFont="1" applyFill="1" applyBorder="1" applyAlignment="1">
      <alignment horizontal="left" vertical="center" wrapText="1"/>
    </xf>
    <xf numFmtId="0" fontId="40" fillId="4" borderId="62" xfId="709" applyFont="1" applyFill="1" applyBorder="1" applyAlignment="1">
      <alignment horizontal="left" vertical="top" wrapText="1"/>
    </xf>
    <xf numFmtId="0" fontId="40" fillId="4" borderId="50" xfId="709" applyFont="1" applyFill="1" applyBorder="1" applyAlignment="1">
      <alignment horizontal="left" vertical="top" wrapText="1"/>
    </xf>
    <xf numFmtId="0" fontId="42" fillId="4" borderId="34" xfId="709" applyFont="1" applyFill="1" applyBorder="1" applyAlignment="1">
      <alignment horizontal="left"/>
    </xf>
    <xf numFmtId="0" fontId="42" fillId="4" borderId="2" xfId="709" applyFont="1" applyFill="1" applyBorder="1"/>
    <xf numFmtId="14" fontId="42" fillId="4" borderId="51" xfId="0" applyNumberFormat="1" applyFont="1" applyFill="1" applyBorder="1" applyAlignment="1">
      <alignment horizontal="center"/>
    </xf>
    <xf numFmtId="14" fontId="42" fillId="4" borderId="41" xfId="0" applyNumberFormat="1" applyFont="1" applyFill="1" applyBorder="1" applyAlignment="1">
      <alignment horizontal="center"/>
    </xf>
    <xf numFmtId="14" fontId="42" fillId="4" borderId="53" xfId="0" applyNumberFormat="1" applyFont="1" applyFill="1" applyBorder="1" applyAlignment="1">
      <alignment horizontal="center"/>
    </xf>
    <xf numFmtId="0" fontId="42" fillId="4" borderId="44" xfId="709" applyFont="1" applyFill="1" applyBorder="1" applyAlignment="1">
      <alignment horizontal="left"/>
    </xf>
    <xf numFmtId="0" fontId="42" fillId="4" borderId="47" xfId="709" applyFont="1" applyFill="1" applyBorder="1"/>
    <xf numFmtId="0" fontId="42" fillId="4" borderId="44" xfId="709" applyFont="1" applyFill="1" applyBorder="1"/>
    <xf numFmtId="0" fontId="42" fillId="4" borderId="56" xfId="709" applyFont="1" applyFill="1" applyBorder="1" applyAlignment="1">
      <alignment horizontal="left"/>
    </xf>
    <xf numFmtId="0" fontId="42" fillId="4" borderId="48" xfId="709" applyFont="1" applyFill="1" applyBorder="1"/>
    <xf numFmtId="0" fontId="40" fillId="4" borderId="48" xfId="0" applyFont="1" applyFill="1" applyBorder="1" applyAlignment="1">
      <alignment horizontal="left" vertical="center" wrapText="1" shrinkToFit="1"/>
    </xf>
    <xf numFmtId="0" fontId="13" fillId="4" borderId="54" xfId="0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14" fontId="13" fillId="4" borderId="22" xfId="0" applyNumberFormat="1" applyFont="1" applyFill="1" applyBorder="1" applyAlignment="1">
      <alignment horizontal="center"/>
    </xf>
    <xf numFmtId="9" fontId="13" fillId="4" borderId="5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14" fontId="13" fillId="4" borderId="54" xfId="0" applyNumberFormat="1" applyFont="1" applyFill="1" applyBorder="1" applyAlignment="1">
      <alignment horizontal="center" vertical="center" wrapText="1"/>
    </xf>
    <xf numFmtId="14" fontId="33" fillId="6" borderId="2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68" xfId="0" applyFont="1" applyFill="1" applyBorder="1" applyAlignment="1">
      <alignment horizontal="center"/>
    </xf>
    <xf numFmtId="4" fontId="38" fillId="0" borderId="49" xfId="709" applyNumberFormat="1" applyFont="1" applyBorder="1" applyAlignment="1">
      <alignment horizontal="center" vertical="center" wrapText="1"/>
    </xf>
    <xf numFmtId="4" fontId="38" fillId="0" borderId="50" xfId="709" applyNumberFormat="1" applyFont="1" applyBorder="1" applyAlignment="1">
      <alignment horizontal="center" vertical="center" wrapText="1"/>
    </xf>
    <xf numFmtId="0" fontId="38" fillId="0" borderId="0" xfId="709" applyFont="1" applyBorder="1"/>
    <xf numFmtId="0" fontId="40" fillId="4" borderId="2" xfId="0" applyFont="1" applyFill="1" applyBorder="1" applyAlignment="1">
      <alignment vertical="center" wrapText="1" shrinkToFit="1"/>
    </xf>
    <xf numFmtId="0" fontId="13" fillId="4" borderId="42" xfId="0" applyFont="1" applyFill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14" fontId="28" fillId="5" borderId="0" xfId="0" applyNumberFormat="1" applyFont="1" applyFill="1" applyBorder="1" applyAlignment="1">
      <alignment horizontal="center" vertical="center"/>
    </xf>
    <xf numFmtId="4" fontId="14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40" fillId="4" borderId="46" xfId="709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34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0" fontId="13" fillId="4" borderId="52" xfId="0" applyFont="1" applyFill="1" applyBorder="1" applyAlignment="1">
      <alignment horizontal="center" vertical="center"/>
    </xf>
    <xf numFmtId="4" fontId="14" fillId="0" borderId="5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0" fontId="13" fillId="4" borderId="72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" fontId="13" fillId="4" borderId="17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4" fontId="38" fillId="0" borderId="5" xfId="35" applyNumberFormat="1" applyFont="1" applyBorder="1" applyAlignment="1">
      <alignment horizontal="center"/>
    </xf>
    <xf numFmtId="4" fontId="14" fillId="0" borderId="8" xfId="0" applyNumberFormat="1" applyFont="1" applyBorder="1"/>
    <xf numFmtId="4" fontId="38" fillId="0" borderId="39" xfId="35" applyNumberFormat="1" applyFont="1" applyBorder="1" applyAlignment="1">
      <alignment horizontal="center"/>
    </xf>
    <xf numFmtId="4" fontId="14" fillId="0" borderId="37" xfId="0" applyNumberFormat="1" applyFont="1" applyBorder="1"/>
    <xf numFmtId="0" fontId="14" fillId="4" borderId="3" xfId="0" applyFont="1" applyFill="1" applyBorder="1" applyAlignment="1">
      <alignment horizontal="center"/>
    </xf>
    <xf numFmtId="0" fontId="14" fillId="4" borderId="7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73" xfId="0" applyFont="1" applyFill="1" applyBorder="1" applyAlignment="1">
      <alignment horizontal="center"/>
    </xf>
    <xf numFmtId="4" fontId="14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4" fillId="0" borderId="74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4" fillId="0" borderId="49" xfId="0" applyNumberFormat="1" applyFont="1" applyBorder="1" applyAlignment="1">
      <alignment horizontal="right"/>
    </xf>
    <xf numFmtId="4" fontId="14" fillId="0" borderId="68" xfId="0" applyNumberFormat="1" applyFont="1" applyBorder="1" applyAlignment="1">
      <alignment horizontal="right"/>
    </xf>
    <xf numFmtId="4" fontId="32" fillId="0" borderId="25" xfId="0" applyNumberFormat="1" applyFont="1" applyBorder="1" applyAlignment="1">
      <alignment horizontal="right"/>
    </xf>
    <xf numFmtId="4" fontId="32" fillId="0" borderId="26" xfId="0" applyNumberFormat="1" applyFont="1" applyBorder="1" applyAlignment="1">
      <alignment horizontal="right"/>
    </xf>
    <xf numFmtId="4" fontId="0" fillId="0" borderId="26" xfId="0" applyNumberFormat="1" applyFont="1" applyBorder="1"/>
    <xf numFmtId="0" fontId="0" fillId="0" borderId="3" xfId="0" applyFont="1" applyBorder="1"/>
    <xf numFmtId="0" fontId="0" fillId="0" borderId="26" xfId="0" applyFont="1" applyBorder="1"/>
    <xf numFmtId="0" fontId="0" fillId="0" borderId="33" xfId="0" applyFont="1" applyBorder="1"/>
    <xf numFmtId="0" fontId="13" fillId="4" borderId="43" xfId="0" applyFont="1" applyFill="1" applyBorder="1" applyAlignment="1">
      <alignment horizontal="center"/>
    </xf>
    <xf numFmtId="0" fontId="40" fillId="3" borderId="0" xfId="709" applyFill="1"/>
    <xf numFmtId="4" fontId="40" fillId="3" borderId="0" xfId="709" applyNumberFormat="1" applyFill="1"/>
    <xf numFmtId="0" fontId="23" fillId="3" borderId="0" xfId="0" applyFont="1" applyFill="1" applyBorder="1" applyAlignment="1">
      <alignment wrapText="1"/>
    </xf>
    <xf numFmtId="0" fontId="23" fillId="3" borderId="0" xfId="0" applyFont="1" applyFill="1" applyBorder="1" applyAlignment="1"/>
    <xf numFmtId="0" fontId="10" fillId="4" borderId="5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2" fontId="12" fillId="3" borderId="0" xfId="0" applyNumberFormat="1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center" wrapText="1"/>
    </xf>
    <xf numFmtId="0" fontId="13" fillId="4" borderId="42" xfId="0" applyFont="1" applyFill="1" applyBorder="1" applyAlignment="1">
      <alignment horizontal="center" wrapText="1"/>
    </xf>
    <xf numFmtId="0" fontId="13" fillId="4" borderId="51" xfId="0" applyFont="1" applyFill="1" applyBorder="1" applyAlignment="1">
      <alignment horizontal="center" vertical="center" wrapText="1"/>
    </xf>
    <xf numFmtId="10" fontId="13" fillId="4" borderId="52" xfId="0" applyNumberFormat="1" applyFont="1" applyFill="1" applyBorder="1" applyAlignment="1">
      <alignment vertical="center"/>
    </xf>
    <xf numFmtId="2" fontId="40" fillId="3" borderId="0" xfId="709" applyNumberFormat="1" applyFill="1" applyBorder="1"/>
    <xf numFmtId="4" fontId="14" fillId="3" borderId="0" xfId="0" applyNumberFormat="1" applyFont="1" applyFill="1" applyBorder="1" applyAlignment="1"/>
    <xf numFmtId="0" fontId="13" fillId="4" borderId="23" xfId="0" applyFont="1" applyFill="1" applyBorder="1" applyAlignment="1">
      <alignment horizontal="center" wrapText="1"/>
    </xf>
    <xf numFmtId="10" fontId="13" fillId="3" borderId="0" xfId="0" applyNumberFormat="1" applyFont="1" applyFill="1" applyBorder="1" applyAlignment="1">
      <alignment vertical="center"/>
    </xf>
    <xf numFmtId="10" fontId="13" fillId="3" borderId="0" xfId="0" applyNumberFormat="1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/>
    </xf>
    <xf numFmtId="0" fontId="13" fillId="4" borderId="53" xfId="0" applyFont="1" applyFill="1" applyBorder="1" applyAlignment="1">
      <alignment vertical="center"/>
    </xf>
    <xf numFmtId="0" fontId="14" fillId="4" borderId="44" xfId="0" applyFont="1" applyFill="1" applyBorder="1" applyAlignment="1">
      <alignment horizontal="center"/>
    </xf>
    <xf numFmtId="0" fontId="38" fillId="0" borderId="0" xfId="709" applyFont="1" applyAlignment="1">
      <alignment wrapTex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vertical="center" wrapText="1" shrinkToFit="1"/>
    </xf>
    <xf numFmtId="0" fontId="33" fillId="6" borderId="16" xfId="0" applyFont="1" applyFill="1" applyBorder="1" applyAlignment="1">
      <alignment vertical="center"/>
    </xf>
    <xf numFmtId="4" fontId="14" fillId="0" borderId="62" xfId="0" applyNumberFormat="1" applyFont="1" applyBorder="1" applyAlignment="1">
      <alignment horizontal="center" vertical="center"/>
    </xf>
    <xf numFmtId="3" fontId="14" fillId="0" borderId="62" xfId="0" quotePrefix="1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32" fillId="0" borderId="62" xfId="0" applyNumberFormat="1" applyFont="1" applyBorder="1" applyAlignment="1">
      <alignment horizontal="center"/>
    </xf>
    <xf numFmtId="4" fontId="32" fillId="0" borderId="46" xfId="0" applyNumberFormat="1" applyFont="1" applyBorder="1" applyAlignment="1">
      <alignment horizontal="center"/>
    </xf>
    <xf numFmtId="4" fontId="32" fillId="0" borderId="43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4" fontId="32" fillId="0" borderId="24" xfId="0" applyNumberFormat="1" applyFont="1" applyBorder="1" applyAlignment="1">
      <alignment horizontal="center"/>
    </xf>
    <xf numFmtId="4" fontId="14" fillId="0" borderId="40" xfId="0" applyNumberFormat="1" applyFont="1" applyBorder="1" applyAlignment="1">
      <alignment horizontal="center"/>
    </xf>
    <xf numFmtId="0" fontId="33" fillId="8" borderId="17" xfId="0" applyFont="1" applyFill="1" applyBorder="1" applyAlignment="1">
      <alignment horizontal="center" wrapText="1"/>
    </xf>
    <xf numFmtId="14" fontId="33" fillId="8" borderId="43" xfId="0" applyNumberFormat="1" applyFont="1" applyFill="1" applyBorder="1" applyAlignment="1">
      <alignment horizontal="center"/>
    </xf>
    <xf numFmtId="0" fontId="33" fillId="6" borderId="41" xfId="0" applyFont="1" applyFill="1" applyBorder="1" applyAlignment="1">
      <alignment horizontal="center" vertical="center"/>
    </xf>
    <xf numFmtId="3" fontId="33" fillId="6" borderId="52" xfId="0" applyNumberFormat="1" applyFont="1" applyFill="1" applyBorder="1" applyAlignment="1">
      <alignment horizontal="center" vertical="center"/>
    </xf>
    <xf numFmtId="4" fontId="33" fillId="6" borderId="53" xfId="0" applyNumberFormat="1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3" fontId="13" fillId="4" borderId="41" xfId="0" applyNumberFormat="1" applyFont="1" applyFill="1" applyBorder="1" applyAlignment="1">
      <alignment horizontal="center" vertical="center"/>
    </xf>
    <xf numFmtId="4" fontId="13" fillId="4" borderId="41" xfId="0" applyNumberFormat="1" applyFont="1" applyFill="1" applyBorder="1" applyAlignment="1">
      <alignment horizontal="center" vertical="center"/>
    </xf>
    <xf numFmtId="0" fontId="48" fillId="4" borderId="62" xfId="709" applyFont="1" applyFill="1" applyBorder="1" applyAlignment="1">
      <alignment horizontal="center" vertical="top" wrapText="1"/>
    </xf>
    <xf numFmtId="0" fontId="48" fillId="4" borderId="2" xfId="709" applyFont="1" applyFill="1" applyBorder="1" applyAlignment="1">
      <alignment horizontal="center" vertical="top" wrapText="1"/>
    </xf>
    <xf numFmtId="0" fontId="48" fillId="4" borderId="45" xfId="709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4" fontId="11" fillId="4" borderId="9" xfId="0" applyNumberFormat="1" applyFont="1" applyFill="1" applyBorder="1" applyAlignment="1">
      <alignment horizontal="center"/>
    </xf>
    <xf numFmtId="14" fontId="11" fillId="4" borderId="11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14" fontId="11" fillId="4" borderId="36" xfId="0" applyNumberFormat="1" applyFont="1" applyFill="1" applyBorder="1" applyAlignment="1">
      <alignment horizontal="center"/>
    </xf>
    <xf numFmtId="0" fontId="42" fillId="4" borderId="62" xfId="709" applyFont="1" applyFill="1" applyBorder="1" applyAlignment="1">
      <alignment horizontal="center" vertical="center" wrapText="1"/>
    </xf>
    <xf numFmtId="0" fontId="42" fillId="4" borderId="2" xfId="709" applyFont="1" applyFill="1" applyBorder="1" applyAlignment="1">
      <alignment horizontal="center" vertical="center" wrapText="1"/>
    </xf>
    <xf numFmtId="0" fontId="42" fillId="4" borderId="45" xfId="709" applyFont="1" applyFill="1" applyBorder="1" applyAlignment="1">
      <alignment horizontal="center" vertical="center" wrapText="1"/>
    </xf>
    <xf numFmtId="0" fontId="42" fillId="4" borderId="13" xfId="709" applyFont="1" applyFill="1" applyBorder="1" applyAlignment="1">
      <alignment horizontal="center" vertical="center" wrapText="1"/>
    </xf>
    <xf numFmtId="0" fontId="42" fillId="4" borderId="34" xfId="709" applyFont="1" applyFill="1" applyBorder="1" applyAlignment="1">
      <alignment horizontal="center" vertical="center" wrapText="1"/>
    </xf>
    <xf numFmtId="0" fontId="42" fillId="4" borderId="46" xfId="709" applyFont="1" applyFill="1" applyBorder="1" applyAlignment="1">
      <alignment horizontal="center" vertical="center" wrapText="1"/>
    </xf>
    <xf numFmtId="10" fontId="42" fillId="4" borderId="46" xfId="774" applyNumberFormat="1" applyFont="1" applyFill="1" applyBorder="1" applyAlignment="1">
      <alignment horizontal="center" vertical="center"/>
    </xf>
    <xf numFmtId="2" fontId="14" fillId="3" borderId="57" xfId="0" applyNumberFormat="1" applyFont="1" applyFill="1" applyBorder="1" applyAlignment="1">
      <alignment horizontal="center" vertical="center" wrapText="1"/>
    </xf>
    <xf numFmtId="4" fontId="38" fillId="3" borderId="46" xfId="709" applyNumberFormat="1" applyFont="1" applyFill="1" applyBorder="1" applyAlignment="1">
      <alignment horizontal="center" vertical="center"/>
    </xf>
    <xf numFmtId="4" fontId="38" fillId="3" borderId="50" xfId="709" applyNumberFormat="1" applyFont="1" applyFill="1" applyBorder="1" applyAlignment="1">
      <alignment horizontal="center" vertical="center"/>
    </xf>
    <xf numFmtId="4" fontId="38" fillId="3" borderId="49" xfId="709" applyNumberFormat="1" applyFont="1" applyFill="1" applyBorder="1" applyAlignment="1">
      <alignment horizontal="center" vertical="center"/>
    </xf>
    <xf numFmtId="0" fontId="38" fillId="4" borderId="49" xfId="709" applyFont="1" applyFill="1" applyBorder="1" applyAlignment="1">
      <alignment horizontal="center"/>
    </xf>
    <xf numFmtId="4" fontId="38" fillId="0" borderId="47" xfId="709" applyNumberFormat="1" applyFont="1" applyBorder="1" applyAlignment="1">
      <alignment horizontal="center"/>
    </xf>
    <xf numFmtId="0" fontId="38" fillId="4" borderId="50" xfId="709" applyFont="1" applyFill="1" applyBorder="1" applyAlignment="1">
      <alignment horizontal="center"/>
    </xf>
    <xf numFmtId="4" fontId="38" fillId="0" borderId="48" xfId="709" applyNumberFormat="1" applyFont="1" applyBorder="1" applyAlignment="1">
      <alignment horizontal="center"/>
    </xf>
    <xf numFmtId="4" fontId="38" fillId="3" borderId="43" xfId="709" applyNumberFormat="1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48" fillId="0" borderId="0" xfId="709" applyFont="1" applyBorder="1" applyAlignment="1"/>
    <xf numFmtId="169" fontId="40" fillId="3" borderId="0" xfId="775" applyNumberFormat="1" applyFont="1" applyFill="1" applyBorder="1" applyAlignment="1"/>
    <xf numFmtId="4" fontId="40" fillId="0" borderId="62" xfId="773" applyNumberFormat="1" applyFont="1" applyBorder="1" applyAlignment="1">
      <alignment horizontal="center" wrapText="1"/>
    </xf>
    <xf numFmtId="4" fontId="40" fillId="0" borderId="14" xfId="773" applyNumberFormat="1" applyFont="1" applyBorder="1" applyAlignment="1">
      <alignment horizontal="center" wrapText="1"/>
    </xf>
    <xf numFmtId="4" fontId="40" fillId="0" borderId="62" xfId="709" applyNumberFormat="1" applyFont="1" applyBorder="1" applyAlignment="1">
      <alignment horizontal="center" wrapText="1"/>
    </xf>
    <xf numFmtId="4" fontId="40" fillId="0" borderId="13" xfId="709" applyNumberFormat="1" applyFont="1" applyBorder="1" applyAlignment="1">
      <alignment horizontal="center" wrapText="1"/>
    </xf>
    <xf numFmtId="4" fontId="40" fillId="0" borderId="15" xfId="709" applyNumberFormat="1" applyFont="1" applyBorder="1" applyAlignment="1">
      <alignment horizontal="center" wrapText="1"/>
    </xf>
    <xf numFmtId="4" fontId="40" fillId="0" borderId="49" xfId="773" applyNumberFormat="1" applyFont="1" applyBorder="1" applyAlignment="1">
      <alignment horizontal="center" wrapText="1"/>
    </xf>
    <xf numFmtId="4" fontId="40" fillId="0" borderId="47" xfId="773" applyNumberFormat="1" applyFont="1" applyBorder="1" applyAlignment="1">
      <alignment horizontal="center" wrapText="1"/>
    </xf>
    <xf numFmtId="4" fontId="40" fillId="0" borderId="27" xfId="709" applyNumberFormat="1" applyFont="1" applyBorder="1" applyAlignment="1">
      <alignment horizontal="center" wrapText="1"/>
    </xf>
    <xf numFmtId="4" fontId="40" fillId="0" borderId="50" xfId="773" applyNumberFormat="1" applyFont="1" applyBorder="1" applyAlignment="1">
      <alignment horizontal="center" wrapText="1"/>
    </xf>
    <xf numFmtId="4" fontId="40" fillId="0" borderId="48" xfId="773" applyNumberFormat="1" applyFont="1" applyBorder="1" applyAlignment="1">
      <alignment horizontal="center" wrapText="1"/>
    </xf>
    <xf numFmtId="4" fontId="40" fillId="0" borderId="36" xfId="709" applyNumberFormat="1" applyFont="1" applyBorder="1" applyAlignment="1">
      <alignment horizontal="center" wrapText="1"/>
    </xf>
    <xf numFmtId="2" fontId="40" fillId="3" borderId="46" xfId="0" applyNumberFormat="1" applyFont="1" applyFill="1" applyBorder="1" applyAlignment="1">
      <alignment horizontal="center" vertical="center" wrapText="1" shrinkToFit="1"/>
    </xf>
    <xf numFmtId="2" fontId="40" fillId="0" borderId="46" xfId="0" applyNumberFormat="1" applyFont="1" applyBorder="1" applyAlignment="1">
      <alignment horizontal="center"/>
    </xf>
    <xf numFmtId="2" fontId="40" fillId="0" borderId="45" xfId="0" applyNumberFormat="1" applyFont="1" applyBorder="1" applyAlignment="1">
      <alignment horizontal="center"/>
    </xf>
    <xf numFmtId="2" fontId="40" fillId="3" borderId="49" xfId="0" applyNumberFormat="1" applyFont="1" applyFill="1" applyBorder="1" applyAlignment="1">
      <alignment horizontal="center" vertical="center" wrapText="1" shrinkToFit="1"/>
    </xf>
    <xf numFmtId="2" fontId="40" fillId="0" borderId="49" xfId="0" applyNumberFormat="1" applyFont="1" applyBorder="1" applyAlignment="1">
      <alignment horizontal="center"/>
    </xf>
    <xf numFmtId="2" fontId="40" fillId="0" borderId="27" xfId="0" applyNumberFormat="1" applyFont="1" applyBorder="1" applyAlignment="1">
      <alignment horizontal="center"/>
    </xf>
    <xf numFmtId="2" fontId="40" fillId="3" borderId="50" xfId="0" applyNumberFormat="1" applyFont="1" applyFill="1" applyBorder="1" applyAlignment="1">
      <alignment horizontal="center" vertical="center" wrapText="1" shrinkToFit="1"/>
    </xf>
    <xf numFmtId="2" fontId="40" fillId="0" borderId="50" xfId="0" applyNumberFormat="1" applyFont="1" applyBorder="1" applyAlignment="1">
      <alignment horizontal="center"/>
    </xf>
    <xf numFmtId="2" fontId="40" fillId="0" borderId="36" xfId="0" applyNumberFormat="1" applyFont="1" applyBorder="1" applyAlignment="1">
      <alignment horizontal="center"/>
    </xf>
    <xf numFmtId="4" fontId="40" fillId="0" borderId="46" xfId="773" applyNumberFormat="1" applyFont="1" applyBorder="1" applyAlignment="1">
      <alignment horizontal="center" wrapText="1"/>
    </xf>
    <xf numFmtId="4" fontId="40" fillId="0" borderId="46" xfId="709" applyNumberFormat="1" applyFont="1" applyBorder="1" applyAlignment="1">
      <alignment horizontal="center" wrapText="1"/>
    </xf>
    <xf numFmtId="4" fontId="40" fillId="0" borderId="34" xfId="0" applyNumberFormat="1" applyFont="1" applyBorder="1" applyAlignment="1">
      <alignment horizontal="center"/>
    </xf>
    <xf numFmtId="4" fontId="40" fillId="0" borderId="46" xfId="0" applyNumberFormat="1" applyFont="1" applyBorder="1" applyAlignment="1">
      <alignment horizontal="center"/>
    </xf>
    <xf numFmtId="4" fontId="40" fillId="0" borderId="45" xfId="0" applyNumberFormat="1" applyFont="1" applyBorder="1" applyAlignment="1">
      <alignment horizontal="center"/>
    </xf>
    <xf numFmtId="4" fontId="40" fillId="0" borderId="44" xfId="0" applyNumberFormat="1" applyFont="1" applyBorder="1" applyAlignment="1">
      <alignment horizontal="center"/>
    </xf>
    <xf numFmtId="4" fontId="40" fillId="0" borderId="27" xfId="0" applyNumberFormat="1" applyFont="1" applyBorder="1" applyAlignment="1">
      <alignment horizontal="center"/>
    </xf>
    <xf numFmtId="4" fontId="40" fillId="0" borderId="56" xfId="0" applyNumberFormat="1" applyFont="1" applyBorder="1" applyAlignment="1">
      <alignment horizontal="center"/>
    </xf>
    <xf numFmtId="4" fontId="40" fillId="0" borderId="50" xfId="0" applyNumberFormat="1" applyFont="1" applyBorder="1" applyAlignment="1">
      <alignment horizontal="center"/>
    </xf>
    <xf numFmtId="4" fontId="40" fillId="0" borderId="36" xfId="0" applyNumberFormat="1" applyFont="1" applyBorder="1" applyAlignment="1">
      <alignment horizontal="center"/>
    </xf>
    <xf numFmtId="4" fontId="40" fillId="3" borderId="24" xfId="773" applyNumberFormat="1" applyFont="1" applyFill="1" applyBorder="1" applyAlignment="1">
      <alignment horizontal="center" wrapText="1"/>
    </xf>
    <xf numFmtId="4" fontId="40" fillId="3" borderId="43" xfId="773" applyNumberFormat="1" applyFont="1" applyFill="1" applyBorder="1" applyAlignment="1">
      <alignment horizontal="center" wrapText="1"/>
    </xf>
    <xf numFmtId="4" fontId="40" fillId="3" borderId="22" xfId="773" applyNumberFormat="1" applyFont="1" applyFill="1" applyBorder="1" applyAlignment="1">
      <alignment horizontal="center"/>
    </xf>
    <xf numFmtId="4" fontId="40" fillId="0" borderId="46" xfId="773" applyNumberFormat="1" applyFont="1" applyBorder="1" applyAlignment="1">
      <alignment horizontal="center" vertical="center" wrapText="1"/>
    </xf>
    <xf numFmtId="4" fontId="40" fillId="0" borderId="43" xfId="773" applyNumberFormat="1" applyFont="1" applyBorder="1" applyAlignment="1">
      <alignment horizontal="center" vertical="center" wrapText="1"/>
    </xf>
    <xf numFmtId="4" fontId="38" fillId="0" borderId="46" xfId="773" applyNumberFormat="1" applyFont="1" applyBorder="1" applyAlignment="1">
      <alignment horizontal="center" vertical="center" wrapText="1"/>
    </xf>
    <xf numFmtId="4" fontId="38" fillId="0" borderId="43" xfId="773" applyNumberFormat="1" applyFont="1" applyBorder="1" applyAlignment="1">
      <alignment horizontal="center" vertical="center" wrapText="1"/>
    </xf>
    <xf numFmtId="4" fontId="38" fillId="3" borderId="48" xfId="773" applyNumberFormat="1" applyFont="1" applyFill="1" applyBorder="1" applyAlignment="1">
      <alignment horizontal="center" wrapText="1"/>
    </xf>
    <xf numFmtId="4" fontId="38" fillId="3" borderId="50" xfId="773" applyNumberFormat="1" applyFont="1" applyFill="1" applyBorder="1" applyAlignment="1">
      <alignment horizontal="center" wrapText="1"/>
    </xf>
    <xf numFmtId="4" fontId="38" fillId="3" borderId="36" xfId="773" applyNumberFormat="1" applyFont="1" applyFill="1" applyBorder="1" applyAlignment="1">
      <alignment horizontal="center" wrapText="1"/>
    </xf>
    <xf numFmtId="0" fontId="42" fillId="3" borderId="0" xfId="709" applyFont="1" applyFill="1" applyBorder="1" applyAlignment="1">
      <alignment horizontal="left"/>
    </xf>
    <xf numFmtId="0" fontId="42" fillId="3" borderId="0" xfId="709" applyFont="1" applyFill="1" applyBorder="1"/>
    <xf numFmtId="0" fontId="38" fillId="0" borderId="0" xfId="709" applyFont="1" applyAlignment="1">
      <alignment horizontal="left"/>
    </xf>
    <xf numFmtId="0" fontId="48" fillId="0" borderId="0" xfId="709" applyFont="1" applyAlignment="1">
      <alignment horizontal="left" vertical="top"/>
    </xf>
    <xf numFmtId="4" fontId="40" fillId="3" borderId="24" xfId="773" applyNumberFormat="1" applyFont="1" applyFill="1" applyBorder="1" applyAlignment="1">
      <alignment horizontal="center" vertical="center" wrapText="1"/>
    </xf>
    <xf numFmtId="4" fontId="40" fillId="3" borderId="43" xfId="773" applyNumberFormat="1" applyFont="1" applyFill="1" applyBorder="1" applyAlignment="1">
      <alignment horizontal="center" vertical="center" wrapText="1"/>
    </xf>
    <xf numFmtId="4" fontId="40" fillId="3" borderId="22" xfId="773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55" fillId="4" borderId="23" xfId="709" applyFont="1" applyFill="1" applyBorder="1" applyAlignment="1"/>
    <xf numFmtId="0" fontId="38" fillId="4" borderId="0" xfId="709" applyFont="1" applyFill="1" applyBorder="1" applyAlignment="1"/>
    <xf numFmtId="2" fontId="1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/>
    <xf numFmtId="0" fontId="0" fillId="0" borderId="1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2" borderId="58" xfId="0" applyFont="1" applyFill="1" applyBorder="1" applyAlignment="1">
      <alignment vertical="center" wrapText="1"/>
    </xf>
    <xf numFmtId="0" fontId="26" fillId="2" borderId="31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55" fillId="4" borderId="52" xfId="709" applyFont="1" applyFill="1" applyBorder="1" applyAlignment="1"/>
    <xf numFmtId="0" fontId="38" fillId="2" borderId="14" xfId="709" applyFont="1" applyFill="1" applyBorder="1" applyAlignment="1"/>
    <xf numFmtId="0" fontId="38" fillId="2" borderId="47" xfId="709" applyFont="1" applyFill="1" applyBorder="1" applyAlignment="1"/>
    <xf numFmtId="0" fontId="38" fillId="2" borderId="48" xfId="709" applyFont="1" applyFill="1" applyBorder="1" applyAlignment="1"/>
    <xf numFmtId="0" fontId="38" fillId="2" borderId="14" xfId="709" applyFont="1" applyFill="1" applyBorder="1" applyAlignment="1">
      <alignment wrapText="1"/>
    </xf>
    <xf numFmtId="0" fontId="38" fillId="4" borderId="47" xfId="709" applyFont="1" applyFill="1" applyBorder="1" applyAlignment="1"/>
    <xf numFmtId="0" fontId="12" fillId="3" borderId="23" xfId="0" applyFont="1" applyFill="1" applyBorder="1" applyAlignment="1">
      <alignment horizontal="left"/>
    </xf>
    <xf numFmtId="0" fontId="12" fillId="3" borderId="23" xfId="0" applyFont="1" applyFill="1" applyBorder="1" applyAlignment="1">
      <alignment horizont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/>
    <xf numFmtId="0" fontId="12" fillId="3" borderId="22" xfId="0" applyFont="1" applyFill="1" applyBorder="1" applyAlignment="1"/>
    <xf numFmtId="0" fontId="0" fillId="0" borderId="33" xfId="0" applyBorder="1"/>
    <xf numFmtId="0" fontId="0" fillId="0" borderId="3" xfId="0" applyBorder="1"/>
    <xf numFmtId="0" fontId="0" fillId="0" borderId="18" xfId="0" applyBorder="1"/>
    <xf numFmtId="0" fontId="11" fillId="3" borderId="23" xfId="0" applyFont="1" applyFill="1" applyBorder="1" applyAlignment="1">
      <alignment horizontal="left"/>
    </xf>
    <xf numFmtId="0" fontId="38" fillId="0" borderId="0" xfId="709" applyFont="1" applyBorder="1" applyAlignment="1"/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48" fillId="0" borderId="0" xfId="709" applyFont="1" applyAlignment="1">
      <alignment horizontal="center"/>
    </xf>
    <xf numFmtId="0" fontId="36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40" fillId="4" borderId="47" xfId="0" applyFont="1" applyFill="1" applyBorder="1" applyAlignment="1">
      <alignment horizontal="left" vertical="center" wrapText="1" shrinkToFit="1"/>
    </xf>
    <xf numFmtId="0" fontId="12" fillId="3" borderId="0" xfId="0" applyFont="1" applyFill="1" applyBorder="1" applyAlignment="1">
      <alignment vertical="center" wrapText="1"/>
    </xf>
    <xf numFmtId="0" fontId="61" fillId="2" borderId="63" xfId="0" applyFont="1" applyFill="1" applyBorder="1" applyAlignment="1">
      <alignment horizontal="center" vertical="center"/>
    </xf>
    <xf numFmtId="0" fontId="61" fillId="2" borderId="63" xfId="0" applyFont="1" applyFill="1" applyBorder="1" applyAlignment="1">
      <alignment horizontal="center" vertical="center" wrapText="1"/>
    </xf>
    <xf numFmtId="0" fontId="61" fillId="2" borderId="77" xfId="0" applyFont="1" applyFill="1" applyBorder="1" applyAlignment="1">
      <alignment horizontal="center" vertical="center" wrapText="1"/>
    </xf>
    <xf numFmtId="0" fontId="43" fillId="0" borderId="0" xfId="709" applyFont="1" applyBorder="1"/>
    <xf numFmtId="0" fontId="54" fillId="4" borderId="34" xfId="709" applyFont="1" applyFill="1" applyBorder="1" applyAlignment="1">
      <alignment horizontal="center" vertical="center" wrapText="1"/>
    </xf>
    <xf numFmtId="0" fontId="54" fillId="4" borderId="46" xfId="709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 shrinkToFit="1"/>
    </xf>
    <xf numFmtId="0" fontId="14" fillId="4" borderId="15" xfId="0" applyFont="1" applyFill="1" applyBorder="1" applyAlignment="1">
      <alignment vertical="center" wrapText="1" shrinkToFi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45" xfId="0" applyNumberFormat="1" applyFont="1" applyBorder="1" applyAlignment="1">
      <alignment horizontal="center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22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4" borderId="62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3" fillId="3" borderId="23" xfId="0" applyFont="1" applyFill="1" applyBorder="1" applyAlignment="1">
      <alignment horizontal="left"/>
    </xf>
    <xf numFmtId="0" fontId="33" fillId="0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4" fontId="14" fillId="3" borderId="19" xfId="0" applyNumberFormat="1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top" wrapText="1"/>
    </xf>
    <xf numFmtId="0" fontId="3" fillId="0" borderId="20" xfId="0" applyFont="1" applyBorder="1"/>
    <xf numFmtId="0" fontId="12" fillId="3" borderId="22" xfId="0" applyFont="1" applyFill="1" applyBorder="1"/>
    <xf numFmtId="0" fontId="14" fillId="0" borderId="5" xfId="0" applyFont="1" applyBorder="1"/>
    <xf numFmtId="0" fontId="12" fillId="3" borderId="9" xfId="0" applyFont="1" applyFill="1" applyBorder="1"/>
    <xf numFmtId="0" fontId="12" fillId="3" borderId="10" xfId="0" applyFont="1" applyFill="1" applyBorder="1"/>
    <xf numFmtId="3" fontId="12" fillId="3" borderId="18" xfId="0" applyNumberFormat="1" applyFont="1" applyFill="1" applyBorder="1"/>
    <xf numFmtId="0" fontId="14" fillId="0" borderId="6" xfId="0" applyFont="1" applyBorder="1"/>
    <xf numFmtId="0" fontId="12" fillId="3" borderId="11" xfId="0" applyFont="1" applyFill="1" applyBorder="1"/>
    <xf numFmtId="3" fontId="14" fillId="0" borderId="26" xfId="0" applyNumberFormat="1" applyFont="1" applyBorder="1"/>
    <xf numFmtId="43" fontId="14" fillId="0" borderId="6" xfId="80" applyFont="1" applyBorder="1"/>
    <xf numFmtId="43" fontId="14" fillId="0" borderId="11" xfId="80" applyFont="1" applyBorder="1"/>
    <xf numFmtId="14" fontId="13" fillId="4" borderId="31" xfId="0" applyNumberFormat="1" applyFont="1" applyFill="1" applyBorder="1" applyAlignment="1">
      <alignment horizontal="center"/>
    </xf>
    <xf numFmtId="0" fontId="50" fillId="3" borderId="0" xfId="709" applyFont="1" applyFill="1" applyBorder="1" applyAlignment="1">
      <alignment horizontal="center" wrapText="1"/>
    </xf>
    <xf numFmtId="0" fontId="50" fillId="3" borderId="24" xfId="709" applyFont="1" applyFill="1" applyBorder="1" applyAlignment="1">
      <alignment horizontal="center" wrapText="1"/>
    </xf>
    <xf numFmtId="167" fontId="38" fillId="3" borderId="0" xfId="773" applyFont="1" applyFill="1"/>
    <xf numFmtId="0" fontId="38" fillId="3" borderId="0" xfId="709" applyFont="1" applyFill="1"/>
    <xf numFmtId="14" fontId="11" fillId="4" borderId="64" xfId="0" applyNumberFormat="1" applyFont="1" applyFill="1" applyBorder="1" applyAlignment="1">
      <alignment horizontal="center"/>
    </xf>
    <xf numFmtId="0" fontId="11" fillId="4" borderId="58" xfId="0" applyFont="1" applyFill="1" applyBorder="1" applyAlignment="1">
      <alignment horizontal="center"/>
    </xf>
    <xf numFmtId="14" fontId="11" fillId="4" borderId="20" xfId="0" applyNumberFormat="1" applyFont="1" applyFill="1" applyBorder="1" applyAlignment="1">
      <alignment horizontal="center"/>
    </xf>
    <xf numFmtId="0" fontId="11" fillId="4" borderId="59" xfId="0" applyFont="1" applyFill="1" applyBorder="1" applyAlignment="1">
      <alignment horizontal="center"/>
    </xf>
    <xf numFmtId="14" fontId="11" fillId="4" borderId="31" xfId="0" applyNumberFormat="1" applyFont="1" applyFill="1" applyBorder="1" applyAlignment="1">
      <alignment horizontal="center"/>
    </xf>
    <xf numFmtId="14" fontId="11" fillId="4" borderId="55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vertical="center" wrapText="1" shrinkToFit="1"/>
    </xf>
    <xf numFmtId="0" fontId="14" fillId="4" borderId="22" xfId="0" applyFont="1" applyFill="1" applyBorder="1" applyAlignment="1">
      <alignment vertical="center" wrapText="1" shrinkToFit="1"/>
    </xf>
    <xf numFmtId="0" fontId="23" fillId="3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6" fillId="4" borderId="46" xfId="0" applyFont="1" applyFill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4" fontId="16" fillId="0" borderId="34" xfId="0" applyNumberFormat="1" applyFont="1" applyBorder="1" applyAlignment="1">
      <alignment horizontal="center"/>
    </xf>
    <xf numFmtId="4" fontId="64" fillId="3" borderId="46" xfId="709" applyNumberFormat="1" applyFont="1" applyFill="1" applyBorder="1" applyAlignment="1">
      <alignment horizontal="center" vertical="center"/>
    </xf>
    <xf numFmtId="4" fontId="64" fillId="3" borderId="0" xfId="709" applyNumberFormat="1" applyFont="1" applyFill="1" applyBorder="1" applyAlignment="1">
      <alignment vertical="center"/>
    </xf>
    <xf numFmtId="2" fontId="64" fillId="0" borderId="0" xfId="709" applyNumberFormat="1" applyFont="1"/>
    <xf numFmtId="0" fontId="64" fillId="0" borderId="0" xfId="709" applyFont="1"/>
    <xf numFmtId="0" fontId="16" fillId="4" borderId="50" xfId="0" applyFont="1" applyFill="1" applyBorder="1" applyAlignment="1">
      <alignment horizontal="center"/>
    </xf>
    <xf numFmtId="4" fontId="16" fillId="0" borderId="48" xfId="0" applyNumberFormat="1" applyFont="1" applyBorder="1" applyAlignment="1">
      <alignment horizontal="center"/>
    </xf>
    <xf numFmtId="4" fontId="16" fillId="0" borderId="50" xfId="0" applyNumberFormat="1" applyFont="1" applyBorder="1" applyAlignment="1">
      <alignment horizontal="center"/>
    </xf>
    <xf numFmtId="4" fontId="16" fillId="0" borderId="56" xfId="0" applyNumberFormat="1" applyFont="1" applyBorder="1" applyAlignment="1">
      <alignment horizontal="center"/>
    </xf>
    <xf numFmtId="4" fontId="64" fillId="3" borderId="43" xfId="709" applyNumberFormat="1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/>
    </xf>
    <xf numFmtId="4" fontId="16" fillId="0" borderId="47" xfId="0" applyNumberFormat="1" applyFont="1" applyBorder="1" applyAlignment="1">
      <alignment horizontal="center"/>
    </xf>
    <xf numFmtId="4" fontId="16" fillId="0" borderId="44" xfId="0" applyNumberFormat="1" applyFont="1" applyBorder="1" applyAlignment="1">
      <alignment horizontal="center"/>
    </xf>
    <xf numFmtId="0" fontId="64" fillId="4" borderId="49" xfId="709" applyFont="1" applyFill="1" applyBorder="1" applyAlignment="1">
      <alignment horizontal="center"/>
    </xf>
    <xf numFmtId="4" fontId="64" fillId="0" borderId="47" xfId="709" applyNumberFormat="1" applyFont="1" applyBorder="1" applyAlignment="1">
      <alignment horizontal="center"/>
    </xf>
    <xf numFmtId="0" fontId="64" fillId="4" borderId="50" xfId="709" applyFont="1" applyFill="1" applyBorder="1" applyAlignment="1">
      <alignment horizontal="center"/>
    </xf>
    <xf numFmtId="4" fontId="64" fillId="0" borderId="48" xfId="709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4" fontId="16" fillId="0" borderId="62" xfId="0" applyNumberFormat="1" applyFont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2" fontId="64" fillId="3" borderId="0" xfId="709" applyNumberFormat="1" applyFont="1" applyFill="1" applyBorder="1"/>
    <xf numFmtId="4" fontId="16" fillId="3" borderId="0" xfId="0" applyNumberFormat="1" applyFont="1" applyFill="1" applyBorder="1" applyAlignment="1"/>
    <xf numFmtId="0" fontId="64" fillId="3" borderId="0" xfId="709" applyFont="1" applyFill="1" applyBorder="1"/>
    <xf numFmtId="0" fontId="16" fillId="4" borderId="44" xfId="0" applyFont="1" applyFill="1" applyBorder="1" applyAlignment="1">
      <alignment horizontal="center"/>
    </xf>
    <xf numFmtId="4" fontId="16" fillId="0" borderId="49" xfId="0" applyNumberFormat="1" applyFont="1" applyBorder="1" applyAlignment="1">
      <alignment horizontal="center"/>
    </xf>
    <xf numFmtId="0" fontId="16" fillId="4" borderId="56" xfId="0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10" fontId="17" fillId="4" borderId="52" xfId="0" applyNumberFormat="1" applyFont="1" applyFill="1" applyBorder="1" applyAlignment="1">
      <alignment vertical="center"/>
    </xf>
    <xf numFmtId="0" fontId="17" fillId="4" borderId="53" xfId="0" applyFont="1" applyFill="1" applyBorder="1" applyAlignment="1">
      <alignment vertical="center"/>
    </xf>
    <xf numFmtId="0" fontId="17" fillId="4" borderId="41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wrapText="1"/>
    </xf>
    <xf numFmtId="0" fontId="17" fillId="4" borderId="42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14" fontId="17" fillId="4" borderId="24" xfId="0" applyNumberFormat="1" applyFont="1" applyFill="1" applyBorder="1" applyAlignment="1">
      <alignment horizontal="center" vertical="center" wrapText="1"/>
    </xf>
    <xf numFmtId="14" fontId="17" fillId="4" borderId="43" xfId="0" applyNumberFormat="1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43" xfId="0" applyNumberFormat="1" applyFont="1" applyBorder="1" applyAlignment="1">
      <alignment horizontal="center"/>
    </xf>
    <xf numFmtId="4" fontId="16" fillId="0" borderId="21" xfId="0" applyNumberFormat="1" applyFont="1" applyBorder="1" applyAlignment="1">
      <alignment horizontal="center"/>
    </xf>
    <xf numFmtId="0" fontId="40" fillId="4" borderId="34" xfId="709" applyFont="1" applyFill="1" applyBorder="1" applyAlignment="1">
      <alignment horizontal="left" vertical="top" wrapText="1"/>
    </xf>
    <xf numFmtId="14" fontId="42" fillId="4" borderId="43" xfId="709" applyNumberFormat="1" applyFont="1" applyFill="1" applyBorder="1" applyAlignment="1">
      <alignment horizontal="center" vertical="top" wrapText="1"/>
    </xf>
    <xf numFmtId="14" fontId="42" fillId="4" borderId="31" xfId="0" applyNumberFormat="1" applyFont="1" applyFill="1" applyBorder="1" applyAlignment="1">
      <alignment horizontal="center" vertical="center" wrapText="1" shrinkToFit="1"/>
    </xf>
    <xf numFmtId="14" fontId="42" fillId="4" borderId="32" xfId="0" applyNumberFormat="1" applyFont="1" applyFill="1" applyBorder="1" applyAlignment="1">
      <alignment horizontal="center"/>
    </xf>
    <xf numFmtId="14" fontId="42" fillId="4" borderId="55" xfId="0" applyNumberFormat="1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44" xfId="0" applyNumberFormat="1" applyFont="1" applyBorder="1" applyAlignment="1">
      <alignment horizontal="center" vertical="center" wrapText="1"/>
    </xf>
    <xf numFmtId="4" fontId="12" fillId="0" borderId="56" xfId="0" applyNumberFormat="1" applyFont="1" applyBorder="1" applyAlignment="1">
      <alignment horizontal="center" vertical="center" wrapText="1"/>
    </xf>
    <xf numFmtId="4" fontId="40" fillId="0" borderId="0" xfId="0" applyNumberFormat="1" applyFont="1" applyBorder="1" applyAlignment="1">
      <alignment horizontal="center"/>
    </xf>
    <xf numFmtId="4" fontId="40" fillId="0" borderId="62" xfId="0" applyNumberFormat="1" applyFont="1" applyBorder="1" applyAlignment="1">
      <alignment horizontal="center" vertical="center" wrapText="1"/>
    </xf>
    <xf numFmtId="4" fontId="40" fillId="0" borderId="49" xfId="0" applyNumberFormat="1" applyFont="1" applyBorder="1" applyAlignment="1">
      <alignment horizontal="center" vertical="center" wrapText="1"/>
    </xf>
    <xf numFmtId="4" fontId="40" fillId="0" borderId="50" xfId="0" applyNumberFormat="1" applyFont="1" applyBorder="1" applyAlignment="1">
      <alignment horizontal="center" vertical="center" wrapText="1"/>
    </xf>
    <xf numFmtId="0" fontId="65" fillId="0" borderId="46" xfId="709" applyFont="1" applyBorder="1" applyAlignment="1">
      <alignment horizontal="center" vertical="top" wrapText="1"/>
    </xf>
    <xf numFmtId="167" fontId="64" fillId="0" borderId="46" xfId="773" applyFont="1" applyBorder="1" applyAlignment="1">
      <alignment horizontal="center" wrapText="1"/>
    </xf>
    <xf numFmtId="167" fontId="64" fillId="0" borderId="49" xfId="773" applyFont="1" applyBorder="1" applyAlignment="1">
      <alignment horizontal="center" wrapText="1"/>
    </xf>
    <xf numFmtId="167" fontId="64" fillId="0" borderId="62" xfId="773" applyFont="1" applyBorder="1" applyAlignment="1">
      <alignment horizontal="center" wrapText="1"/>
    </xf>
    <xf numFmtId="167" fontId="64" fillId="0" borderId="27" xfId="773" applyFont="1" applyBorder="1" applyAlignment="1">
      <alignment horizontal="center" wrapText="1"/>
    </xf>
    <xf numFmtId="0" fontId="64" fillId="0" borderId="50" xfId="709" applyFont="1" applyBorder="1" applyAlignment="1">
      <alignment horizontal="center"/>
    </xf>
    <xf numFmtId="14" fontId="17" fillId="4" borderId="22" xfId="0" applyNumberFormat="1" applyFont="1" applyFill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0" fontId="69" fillId="9" borderId="4" xfId="709" applyFont="1" applyFill="1" applyBorder="1" applyAlignment="1">
      <alignment horizontal="center" vertical="top" wrapText="1"/>
    </xf>
    <xf numFmtId="0" fontId="69" fillId="9" borderId="26" xfId="709" applyFont="1" applyFill="1" applyBorder="1" applyAlignment="1">
      <alignment horizontal="center" vertical="top" wrapText="1"/>
    </xf>
    <xf numFmtId="0" fontId="69" fillId="9" borderId="15" xfId="709" applyFont="1" applyFill="1" applyBorder="1" applyAlignment="1">
      <alignment horizontal="center" vertical="top" wrapText="1"/>
    </xf>
    <xf numFmtId="167" fontId="64" fillId="0" borderId="4" xfId="773" applyFont="1" applyBorder="1" applyAlignment="1">
      <alignment horizontal="justify" wrapText="1"/>
    </xf>
    <xf numFmtId="167" fontId="64" fillId="0" borderId="26" xfId="773" applyFont="1" applyBorder="1" applyAlignment="1">
      <alignment horizontal="justify" wrapText="1"/>
    </xf>
    <xf numFmtId="167" fontId="64" fillId="0" borderId="15" xfId="773" applyFont="1" applyBorder="1" applyAlignment="1">
      <alignment horizontal="justify" wrapText="1"/>
    </xf>
    <xf numFmtId="167" fontId="64" fillId="0" borderId="31" xfId="773" applyFont="1" applyBorder="1" applyAlignment="1">
      <alignment horizontal="justify" wrapText="1"/>
    </xf>
    <xf numFmtId="167" fontId="64" fillId="0" borderId="32" xfId="773" applyFont="1" applyBorder="1" applyAlignment="1">
      <alignment horizontal="justify" wrapText="1"/>
    </xf>
    <xf numFmtId="167" fontId="64" fillId="0" borderId="22" xfId="773" applyFont="1" applyBorder="1" applyAlignment="1">
      <alignment horizontal="justify" wrapText="1"/>
    </xf>
    <xf numFmtId="0" fontId="64" fillId="0" borderId="0" xfId="709" applyFont="1" applyBorder="1" applyAlignment="1">
      <alignment horizontal="center"/>
    </xf>
    <xf numFmtId="167" fontId="64" fillId="0" borderId="0" xfId="773" applyFont="1" applyBorder="1" applyAlignment="1">
      <alignment horizontal="justify" wrapText="1"/>
    </xf>
    <xf numFmtId="0" fontId="68" fillId="0" borderId="0" xfId="709" applyFont="1"/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3" borderId="27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 wrapText="1"/>
    </xf>
    <xf numFmtId="0" fontId="17" fillId="0" borderId="0" xfId="0" applyFont="1" applyAlignment="1"/>
    <xf numFmtId="14" fontId="24" fillId="3" borderId="0" xfId="0" applyNumberFormat="1" applyFont="1" applyFill="1"/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33" fillId="8" borderId="42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wrapText="1"/>
    </xf>
    <xf numFmtId="0" fontId="11" fillId="4" borderId="59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wrapText="1"/>
    </xf>
    <xf numFmtId="0" fontId="11" fillId="4" borderId="60" xfId="0" applyFont="1" applyFill="1" applyBorder="1" applyAlignment="1">
      <alignment horizontal="center" wrapText="1"/>
    </xf>
    <xf numFmtId="0" fontId="13" fillId="4" borderId="64" xfId="0" applyFont="1" applyFill="1" applyBorder="1" applyAlignment="1">
      <alignment horizontal="center" wrapText="1"/>
    </xf>
    <xf numFmtId="0" fontId="17" fillId="4" borderId="42" xfId="0" applyFont="1" applyFill="1" applyBorder="1" applyAlignment="1">
      <alignment horizontal="center" vertical="center"/>
    </xf>
    <xf numFmtId="49" fontId="0" fillId="0" borderId="0" xfId="0" applyNumberFormat="1"/>
    <xf numFmtId="49" fontId="13" fillId="4" borderId="55" xfId="0" applyNumberFormat="1" applyFont="1" applyFill="1" applyBorder="1" applyAlignment="1">
      <alignment horizontal="center"/>
    </xf>
    <xf numFmtId="49" fontId="17" fillId="4" borderId="43" xfId="0" applyNumberFormat="1" applyFont="1" applyFill="1" applyBorder="1" applyAlignment="1">
      <alignment horizontal="center"/>
    </xf>
    <xf numFmtId="167" fontId="40" fillId="3" borderId="48" xfId="773" applyFont="1" applyFill="1" applyBorder="1" applyAlignment="1">
      <alignment vertical="center" wrapText="1"/>
    </xf>
    <xf numFmtId="167" fontId="40" fillId="3" borderId="50" xfId="773" applyFont="1" applyFill="1" applyBorder="1" applyAlignment="1">
      <alignment vertical="center" wrapText="1"/>
    </xf>
    <xf numFmtId="167" fontId="40" fillId="3" borderId="36" xfId="773" applyFont="1" applyFill="1" applyBorder="1" applyAlignment="1">
      <alignment vertical="center" wrapText="1"/>
    </xf>
    <xf numFmtId="4" fontId="40" fillId="0" borderId="49" xfId="709" applyNumberFormat="1" applyFont="1" applyBorder="1" applyAlignment="1">
      <alignment horizontal="center" vertical="center" wrapText="1"/>
    </xf>
    <xf numFmtId="4" fontId="40" fillId="0" borderId="49" xfId="773" applyNumberFormat="1" applyFont="1" applyBorder="1" applyAlignment="1">
      <alignment horizontal="center" vertical="center" wrapText="1"/>
    </xf>
    <xf numFmtId="4" fontId="40" fillId="0" borderId="44" xfId="709" applyNumberFormat="1" applyFont="1" applyBorder="1" applyAlignment="1">
      <alignment horizontal="center" vertical="center" wrapText="1"/>
    </xf>
    <xf numFmtId="2" fontId="40" fillId="0" borderId="49" xfId="709" applyNumberFormat="1" applyFont="1" applyBorder="1" applyAlignment="1">
      <alignment horizontal="center" vertical="center" wrapText="1"/>
    </xf>
    <xf numFmtId="4" fontId="40" fillId="0" borderId="50" xfId="773" applyNumberFormat="1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wrapText="1"/>
    </xf>
    <xf numFmtId="14" fontId="13" fillId="4" borderId="21" xfId="0" applyNumberFormat="1" applyFont="1" applyFill="1" applyBorder="1" applyAlignment="1">
      <alignment vertical="center" wrapText="1"/>
    </xf>
    <xf numFmtId="14" fontId="13" fillId="4" borderId="22" xfId="0" applyNumberFormat="1" applyFont="1" applyFill="1" applyBorder="1" applyAlignment="1">
      <alignment vertical="center" wrapText="1"/>
    </xf>
    <xf numFmtId="0" fontId="13" fillId="4" borderId="41" xfId="0" applyFont="1" applyFill="1" applyBorder="1" applyAlignment="1">
      <alignment horizontal="center" wrapText="1"/>
    </xf>
    <xf numFmtId="4" fontId="14" fillId="0" borderId="27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3" fontId="14" fillId="0" borderId="49" xfId="0" quotePrefix="1" applyNumberFormat="1" applyFont="1" applyBorder="1" applyAlignment="1">
      <alignment horizontal="center" vertical="center"/>
    </xf>
    <xf numFmtId="3" fontId="14" fillId="0" borderId="50" xfId="0" quotePrefix="1" applyNumberFormat="1" applyFont="1" applyBorder="1" applyAlignment="1">
      <alignment horizontal="center" vertical="center"/>
    </xf>
    <xf numFmtId="4" fontId="14" fillId="0" borderId="49" xfId="0" applyNumberFormat="1" applyFont="1" applyBorder="1" applyAlignment="1">
      <alignment horizontal="center" vertical="center"/>
    </xf>
    <xf numFmtId="4" fontId="14" fillId="0" borderId="50" xfId="0" applyNumberFormat="1" applyFont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wrapText="1"/>
    </xf>
    <xf numFmtId="0" fontId="38" fillId="3" borderId="23" xfId="709" applyFont="1" applyFill="1" applyBorder="1" applyAlignment="1">
      <alignment horizontal="center" vertical="top" wrapText="1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4" fontId="14" fillId="0" borderId="1" xfId="0" applyNumberFormat="1" applyFont="1" applyBorder="1"/>
    <xf numFmtId="4" fontId="14" fillId="0" borderId="10" xfId="0" applyNumberFormat="1" applyFont="1" applyBorder="1"/>
    <xf numFmtId="4" fontId="14" fillId="0" borderId="11" xfId="0" applyNumberFormat="1" applyFont="1" applyBorder="1"/>
    <xf numFmtId="4" fontId="14" fillId="0" borderId="1" xfId="0" applyNumberFormat="1" applyFont="1" applyBorder="1" applyAlignment="1">
      <alignment vertical="center"/>
    </xf>
    <xf numFmtId="4" fontId="14" fillId="0" borderId="10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0" fontId="16" fillId="0" borderId="0" xfId="0" applyFont="1"/>
    <xf numFmtId="4" fontId="14" fillId="0" borderId="8" xfId="0" applyNumberFormat="1" applyFont="1" applyBorder="1" applyAlignment="1">
      <alignment vertical="center"/>
    </xf>
    <xf numFmtId="43" fontId="14" fillId="0" borderId="15" xfId="80" quotePrefix="1" applyFont="1" applyBorder="1" applyAlignment="1">
      <alignment horizontal="center" vertical="center"/>
    </xf>
    <xf numFmtId="43" fontId="14" fillId="0" borderId="27" xfId="80" quotePrefix="1" applyFont="1" applyBorder="1" applyAlignment="1">
      <alignment horizontal="center" vertical="center"/>
    </xf>
    <xf numFmtId="43" fontId="14" fillId="0" borderId="36" xfId="80" quotePrefix="1" applyFont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12" fillId="0" borderId="4" xfId="0" applyFont="1" applyBorder="1"/>
    <xf numFmtId="0" fontId="3" fillId="3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left"/>
      <protection locked="0"/>
    </xf>
    <xf numFmtId="14" fontId="14" fillId="3" borderId="0" xfId="0" applyNumberFormat="1" applyFont="1" applyFill="1" applyBorder="1" applyAlignment="1" applyProtection="1">
      <protection locked="0"/>
    </xf>
    <xf numFmtId="0" fontId="31" fillId="3" borderId="0" xfId="0" applyFont="1" applyFill="1" applyBorder="1" applyAlignment="1" applyProtection="1">
      <alignment horizontal="center"/>
      <protection locked="0"/>
    </xf>
    <xf numFmtId="0" fontId="65" fillId="0" borderId="62" xfId="709" applyFont="1" applyBorder="1" applyAlignment="1">
      <alignment horizontal="center" wrapText="1"/>
    </xf>
    <xf numFmtId="0" fontId="80" fillId="0" borderId="0" xfId="0" applyFont="1"/>
    <xf numFmtId="0" fontId="43" fillId="0" borderId="0" xfId="709" applyFont="1" applyBorder="1" applyAlignment="1" applyProtection="1">
      <protection locked="0"/>
    </xf>
    <xf numFmtId="0" fontId="80" fillId="0" borderId="0" xfId="0" applyFont="1" applyAlignment="1">
      <alignment horizontal="left" vertical="center" wrapText="1"/>
    </xf>
    <xf numFmtId="0" fontId="75" fillId="3" borderId="0" xfId="0" applyFont="1" applyFill="1" applyBorder="1" applyAlignment="1">
      <alignment horizontal="center" vertical="center" wrapText="1"/>
    </xf>
    <xf numFmtId="4" fontId="80" fillId="0" borderId="0" xfId="0" applyNumberFormat="1" applyFont="1" applyBorder="1" applyAlignment="1">
      <alignment horizontal="center"/>
    </xf>
    <xf numFmtId="4" fontId="80" fillId="0" borderId="0" xfId="0" applyNumberFormat="1" applyFont="1" applyBorder="1"/>
    <xf numFmtId="4" fontId="14" fillId="0" borderId="3" xfId="0" applyNumberFormat="1" applyFont="1" applyBorder="1"/>
    <xf numFmtId="4" fontId="14" fillId="0" borderId="18" xfId="0" applyNumberFormat="1" applyFont="1" applyBorder="1" applyAlignment="1">
      <alignment vertical="center"/>
    </xf>
    <xf numFmtId="4" fontId="14" fillId="0" borderId="18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4" fontId="70" fillId="0" borderId="0" xfId="0" applyNumberFormat="1" applyFont="1" applyBorder="1" applyAlignment="1"/>
    <xf numFmtId="0" fontId="73" fillId="0" borderId="0" xfId="0" applyFont="1" applyBorder="1"/>
    <xf numFmtId="0" fontId="3" fillId="0" borderId="0" xfId="0" applyFont="1" applyProtection="1">
      <protection locked="0"/>
    </xf>
    <xf numFmtId="0" fontId="84" fillId="3" borderId="0" xfId="0" applyFont="1" applyFill="1" applyBorder="1" applyAlignment="1">
      <alignment horizontal="center" vertical="center" wrapText="1"/>
    </xf>
    <xf numFmtId="0" fontId="40" fillId="0" borderId="23" xfId="709" applyFont="1" applyBorder="1" applyAlignment="1">
      <alignment horizontal="left"/>
    </xf>
    <xf numFmtId="4" fontId="14" fillId="0" borderId="13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0" fontId="13" fillId="4" borderId="54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4" fontId="14" fillId="0" borderId="56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6" fillId="4" borderId="47" xfId="0" applyFont="1" applyFill="1" applyBorder="1" applyAlignment="1">
      <alignment horizontal="left" wrapText="1" shrinkToFit="1"/>
    </xf>
    <xf numFmtId="0" fontId="3" fillId="0" borderId="0" xfId="0" applyFont="1" applyBorder="1" applyAlignment="1">
      <alignment horizontal="center" vertical="center" wrapText="1"/>
    </xf>
    <xf numFmtId="0" fontId="36" fillId="4" borderId="52" xfId="709" applyFont="1" applyFill="1" applyBorder="1" applyAlignment="1">
      <alignment vertical="center"/>
    </xf>
    <xf numFmtId="0" fontId="36" fillId="4" borderId="53" xfId="709" applyFont="1" applyFill="1" applyBorder="1" applyAlignment="1">
      <alignment vertical="center"/>
    </xf>
    <xf numFmtId="0" fontId="38" fillId="4" borderId="52" xfId="709" applyFont="1" applyFill="1" applyBorder="1" applyAlignment="1">
      <alignment vertical="center"/>
    </xf>
    <xf numFmtId="0" fontId="65" fillId="0" borderId="54" xfId="709" applyFont="1" applyBorder="1" applyAlignment="1">
      <alignment horizontal="center" vertical="top" wrapText="1"/>
    </xf>
    <xf numFmtId="167" fontId="64" fillId="0" borderId="54" xfId="773" applyFont="1" applyBorder="1" applyAlignment="1">
      <alignment horizontal="center" wrapText="1"/>
    </xf>
    <xf numFmtId="167" fontId="64" fillId="0" borderId="68" xfId="773" applyFont="1" applyBorder="1" applyAlignment="1">
      <alignment horizontal="center" wrapText="1"/>
    </xf>
    <xf numFmtId="0" fontId="17" fillId="3" borderId="23" xfId="0" applyFont="1" applyFill="1" applyBorder="1" applyAlignment="1">
      <alignment horizontal="center" vertical="center"/>
    </xf>
    <xf numFmtId="0" fontId="64" fillId="4" borderId="47" xfId="709" applyFont="1" applyFill="1" applyBorder="1" applyAlignment="1"/>
    <xf numFmtId="0" fontId="64" fillId="4" borderId="48" xfId="709" applyFont="1" applyFill="1" applyBorder="1" applyAlignment="1"/>
    <xf numFmtId="0" fontId="16" fillId="4" borderId="21" xfId="0" applyFont="1" applyFill="1" applyBorder="1" applyAlignment="1">
      <alignment vertical="center" wrapText="1" shrinkToFit="1"/>
    </xf>
    <xf numFmtId="0" fontId="16" fillId="4" borderId="24" xfId="0" applyFont="1" applyFill="1" applyBorder="1" applyAlignment="1">
      <alignment vertical="center" wrapText="1" shrinkToFit="1"/>
    </xf>
    <xf numFmtId="0" fontId="16" fillId="4" borderId="16" xfId="0" applyFont="1" applyFill="1" applyBorder="1" applyAlignment="1">
      <alignment vertical="center" wrapText="1" shrinkToFit="1"/>
    </xf>
    <xf numFmtId="0" fontId="16" fillId="4" borderId="23" xfId="0" applyFont="1" applyFill="1" applyBorder="1" applyAlignment="1">
      <alignment vertical="center" wrapText="1" shrinkToFit="1"/>
    </xf>
    <xf numFmtId="0" fontId="17" fillId="4" borderId="20" xfId="0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/>
    </xf>
    <xf numFmtId="4" fontId="16" fillId="3" borderId="43" xfId="0" applyNumberFormat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vertical="top" wrapText="1"/>
    </xf>
    <xf numFmtId="0" fontId="16" fillId="3" borderId="0" xfId="0" applyFont="1" applyFill="1" applyBorder="1" applyAlignment="1">
      <alignment vertical="center" wrapText="1"/>
    </xf>
    <xf numFmtId="4" fontId="14" fillId="0" borderId="39" xfId="0" applyNumberFormat="1" applyFont="1" applyBorder="1"/>
    <xf numFmtId="14" fontId="13" fillId="4" borderId="10" xfId="0" applyNumberFormat="1" applyFont="1" applyFill="1" applyBorder="1" applyAlignment="1">
      <alignment horizontal="center" vertical="center" wrapText="1"/>
    </xf>
    <xf numFmtId="4" fontId="14" fillId="0" borderId="33" xfId="0" applyNumberFormat="1" applyFont="1" applyBorder="1"/>
    <xf numFmtId="4" fontId="14" fillId="0" borderId="3" xfId="0" applyNumberFormat="1" applyFont="1" applyBorder="1" applyAlignment="1">
      <alignment vertical="center"/>
    </xf>
    <xf numFmtId="4" fontId="14" fillId="0" borderId="39" xfId="0" applyNumberFormat="1" applyFont="1" applyBorder="1" applyAlignment="1">
      <alignment vertical="center"/>
    </xf>
    <xf numFmtId="4" fontId="14" fillId="0" borderId="37" xfId="0" applyNumberFormat="1" applyFont="1" applyBorder="1" applyAlignment="1">
      <alignment vertical="center"/>
    </xf>
    <xf numFmtId="49" fontId="13" fillId="4" borderId="10" xfId="0" applyNumberFormat="1" applyFont="1" applyFill="1" applyBorder="1" applyAlignment="1">
      <alignment horizontal="center" vertical="center" wrapText="1"/>
    </xf>
    <xf numFmtId="10" fontId="14" fillId="4" borderId="11" xfId="0" applyNumberFormat="1" applyFont="1" applyFill="1" applyBorder="1" applyAlignment="1">
      <alignment vertical="center" wrapText="1"/>
    </xf>
    <xf numFmtId="4" fontId="14" fillId="0" borderId="33" xfId="0" applyNumberFormat="1" applyFont="1" applyBorder="1" applyAlignment="1">
      <alignment vertical="center"/>
    </xf>
    <xf numFmtId="4" fontId="14" fillId="4" borderId="6" xfId="0" applyNumberFormat="1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4" borderId="11" xfId="0" applyNumberFormat="1" applyFont="1" applyFill="1" applyBorder="1" applyAlignment="1">
      <alignment horizontal="center" vertical="center"/>
    </xf>
    <xf numFmtId="14" fontId="13" fillId="4" borderId="11" xfId="0" applyNumberFormat="1" applyFont="1" applyFill="1" applyBorder="1" applyAlignment="1">
      <alignment horizontal="center" vertical="center" wrapText="1"/>
    </xf>
    <xf numFmtId="4" fontId="80" fillId="0" borderId="24" xfId="0" applyNumberFormat="1" applyFont="1" applyBorder="1" applyAlignment="1">
      <alignment horizontal="right"/>
    </xf>
    <xf numFmtId="0" fontId="80" fillId="4" borderId="43" xfId="0" applyFont="1" applyFill="1" applyBorder="1" applyAlignment="1">
      <alignment horizontal="center" vertical="center"/>
    </xf>
    <xf numFmtId="4" fontId="80" fillId="0" borderId="77" xfId="0" applyNumberFormat="1" applyFont="1" applyBorder="1" applyAlignment="1">
      <alignment horizontal="center"/>
    </xf>
    <xf numFmtId="4" fontId="80" fillId="0" borderId="78" xfId="0" applyNumberFormat="1" applyFont="1" applyBorder="1" applyAlignment="1">
      <alignment horizontal="center"/>
    </xf>
    <xf numFmtId="4" fontId="80" fillId="0" borderId="77" xfId="0" applyNumberFormat="1" applyFont="1" applyBorder="1" applyAlignment="1">
      <alignment horizontal="center"/>
    </xf>
    <xf numFmtId="14" fontId="82" fillId="8" borderId="18" xfId="0" applyNumberFormat="1" applyFont="1" applyFill="1" applyBorder="1" applyAlignment="1">
      <alignment horizontal="center" vertical="center" wrapText="1"/>
    </xf>
    <xf numFmtId="49" fontId="83" fillId="4" borderId="10" xfId="0" applyNumberFormat="1" applyFont="1" applyFill="1" applyBorder="1" applyAlignment="1">
      <alignment horizontal="center" vertical="center" wrapText="1"/>
    </xf>
    <xf numFmtId="14" fontId="83" fillId="4" borderId="35" xfId="0" applyNumberFormat="1" applyFont="1" applyFill="1" applyBorder="1" applyAlignment="1">
      <alignment horizontal="center" vertical="center" wrapText="1"/>
    </xf>
    <xf numFmtId="4" fontId="80" fillId="3" borderId="10" xfId="0" applyNumberFormat="1" applyFont="1" applyFill="1" applyBorder="1" applyAlignment="1">
      <alignment horizontal="center"/>
    </xf>
    <xf numFmtId="4" fontId="80" fillId="3" borderId="11" xfId="0" applyNumberFormat="1" applyFont="1" applyFill="1" applyBorder="1" applyAlignment="1">
      <alignment horizontal="center"/>
    </xf>
    <xf numFmtId="0" fontId="77" fillId="4" borderId="50" xfId="0" applyFont="1" applyFill="1" applyBorder="1" applyAlignment="1">
      <alignment horizontal="center" vertical="center"/>
    </xf>
    <xf numFmtId="4" fontId="80" fillId="3" borderId="39" xfId="0" applyNumberFormat="1" applyFont="1" applyFill="1" applyBorder="1" applyAlignment="1">
      <alignment horizontal="center"/>
    </xf>
    <xf numFmtId="4" fontId="80" fillId="3" borderId="37" xfId="0" applyNumberFormat="1" applyFont="1" applyFill="1" applyBorder="1" applyAlignment="1">
      <alignment horizontal="center"/>
    </xf>
    <xf numFmtId="0" fontId="77" fillId="4" borderId="10" xfId="0" applyFont="1" applyFill="1" applyBorder="1" applyAlignment="1">
      <alignment horizontal="center" vertical="center" wrapText="1"/>
    </xf>
    <xf numFmtId="0" fontId="77" fillId="4" borderId="11" xfId="0" applyFont="1" applyFill="1" applyBorder="1" applyAlignment="1">
      <alignment horizontal="center" vertical="center" wrapText="1"/>
    </xf>
    <xf numFmtId="4" fontId="80" fillId="0" borderId="32" xfId="0" applyNumberFormat="1" applyFont="1" applyBorder="1" applyAlignment="1">
      <alignment horizontal="center"/>
    </xf>
    <xf numFmtId="14" fontId="82" fillId="8" borderId="9" xfId="0" applyNumberFormat="1" applyFont="1" applyFill="1" applyBorder="1" applyAlignment="1">
      <alignment horizontal="center" vertical="center" wrapText="1"/>
    </xf>
    <xf numFmtId="14" fontId="83" fillId="4" borderId="10" xfId="0" applyNumberFormat="1" applyFont="1" applyFill="1" applyBorder="1" applyAlignment="1">
      <alignment horizontal="center" vertical="center" wrapText="1"/>
    </xf>
    <xf numFmtId="4" fontId="80" fillId="0" borderId="33" xfId="0" applyNumberFormat="1" applyFont="1" applyBorder="1" applyAlignment="1" applyProtection="1">
      <alignment horizontal="center"/>
      <protection locked="0"/>
    </xf>
    <xf numFmtId="4" fontId="80" fillId="0" borderId="18" xfId="0" applyNumberFormat="1" applyFont="1" applyBorder="1" applyAlignment="1" applyProtection="1">
      <alignment horizontal="center"/>
      <protection locked="0"/>
    </xf>
    <xf numFmtId="0" fontId="80" fillId="4" borderId="62" xfId="0" applyFont="1" applyFill="1" applyBorder="1" applyAlignment="1" applyProtection="1">
      <alignment horizontal="center" vertical="center"/>
      <protection locked="0"/>
    </xf>
    <xf numFmtId="0" fontId="80" fillId="4" borderId="50" xfId="0" applyFont="1" applyFill="1" applyBorder="1" applyAlignment="1" applyProtection="1">
      <alignment horizontal="center" vertical="center"/>
      <protection locked="0"/>
    </xf>
    <xf numFmtId="0" fontId="80" fillId="4" borderId="50" xfId="0" applyFont="1" applyFill="1" applyBorder="1" applyAlignment="1">
      <alignment horizontal="center" vertical="center" wrapText="1"/>
    </xf>
    <xf numFmtId="0" fontId="77" fillId="4" borderId="46" xfId="0" applyFont="1" applyFill="1" applyBorder="1" applyAlignment="1">
      <alignment horizontal="center" vertical="center"/>
    </xf>
    <xf numFmtId="14" fontId="33" fillId="8" borderId="18" xfId="0" applyNumberFormat="1" applyFont="1" applyFill="1" applyBorder="1" applyAlignment="1">
      <alignment horizontal="center" vertical="center" wrapText="1"/>
    </xf>
    <xf numFmtId="14" fontId="13" fillId="4" borderId="18" xfId="0" applyNumberFormat="1" applyFont="1" applyFill="1" applyBorder="1" applyAlignment="1">
      <alignment horizontal="center" vertical="center" wrapText="1"/>
    </xf>
    <xf numFmtId="0" fontId="36" fillId="3" borderId="0" xfId="709" applyFont="1" applyFill="1" applyBorder="1" applyAlignment="1"/>
    <xf numFmtId="10" fontId="54" fillId="4" borderId="62" xfId="774" applyNumberFormat="1" applyFont="1" applyFill="1" applyBorder="1" applyAlignment="1">
      <alignment horizontal="center" vertical="center"/>
    </xf>
    <xf numFmtId="0" fontId="75" fillId="3" borderId="0" xfId="0" applyFont="1" applyFill="1" applyBorder="1" applyAlignment="1" applyProtection="1">
      <alignment vertical="top" wrapText="1"/>
    </xf>
    <xf numFmtId="0" fontId="80" fillId="4" borderId="41" xfId="0" applyFont="1" applyFill="1" applyBorder="1" applyAlignment="1">
      <alignment horizontal="center" vertical="center"/>
    </xf>
    <xf numFmtId="0" fontId="80" fillId="0" borderId="46" xfId="0" applyFont="1" applyBorder="1" applyAlignment="1">
      <alignment horizontal="center" vertical="center"/>
    </xf>
    <xf numFmtId="0" fontId="80" fillId="0" borderId="49" xfId="0" applyFont="1" applyBorder="1" applyAlignment="1">
      <alignment horizontal="center" vertical="center"/>
    </xf>
    <xf numFmtId="0" fontId="80" fillId="0" borderId="50" xfId="0" applyFont="1" applyBorder="1" applyAlignment="1">
      <alignment horizontal="center" vertical="center"/>
    </xf>
    <xf numFmtId="4" fontId="80" fillId="0" borderId="10" xfId="0" applyNumberFormat="1" applyFont="1" applyBorder="1" applyAlignment="1" applyProtection="1">
      <alignment horizontal="center"/>
    </xf>
    <xf numFmtId="4" fontId="80" fillId="0" borderId="39" xfId="0" applyNumberFormat="1" applyFont="1" applyBorder="1" applyAlignment="1" applyProtection="1">
      <alignment horizontal="center"/>
    </xf>
    <xf numFmtId="167" fontId="64" fillId="0" borderId="43" xfId="773" applyFont="1" applyBorder="1" applyAlignment="1">
      <alignment horizontal="center" vertical="center" wrapText="1"/>
    </xf>
    <xf numFmtId="167" fontId="64" fillId="0" borderId="36" xfId="773" applyFont="1" applyBorder="1" applyAlignment="1">
      <alignment horizontal="center" vertical="center" wrapText="1"/>
    </xf>
    <xf numFmtId="10" fontId="74" fillId="4" borderId="55" xfId="774" applyNumberFormat="1" applyFont="1" applyFill="1" applyBorder="1" applyAlignment="1">
      <alignment horizontal="center" vertical="center" wrapText="1"/>
    </xf>
    <xf numFmtId="0" fontId="54" fillId="4" borderId="62" xfId="709" applyFont="1" applyFill="1" applyBorder="1" applyAlignment="1">
      <alignment horizontal="center" vertical="center" wrapText="1"/>
    </xf>
    <xf numFmtId="0" fontId="86" fillId="0" borderId="0" xfId="0" applyFont="1"/>
    <xf numFmtId="0" fontId="18" fillId="0" borderId="2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63" fillId="0" borderId="0" xfId="0" applyFont="1" applyAlignment="1">
      <alignment horizontal="justify" vertical="justify" wrapText="1"/>
    </xf>
    <xf numFmtId="0" fontId="28" fillId="4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2" fillId="0" borderId="0" xfId="709" applyFont="1" applyAlignment="1">
      <alignment horizontal="center" wrapText="1"/>
    </xf>
    <xf numFmtId="0" fontId="49" fillId="0" borderId="0" xfId="709" applyFont="1" applyAlignment="1">
      <alignment horizontal="center" wrapText="1"/>
    </xf>
    <xf numFmtId="0" fontId="27" fillId="0" borderId="0" xfId="0" applyFont="1" applyAlignment="1">
      <alignment horizontal="center"/>
    </xf>
    <xf numFmtId="0" fontId="13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 vertical="top" wrapText="1" shrinkToFit="1"/>
    </xf>
    <xf numFmtId="0" fontId="1" fillId="4" borderId="51" xfId="0" applyFont="1" applyFill="1" applyBorder="1" applyAlignment="1">
      <alignment horizontal="left"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1" fillId="4" borderId="52" xfId="0" applyFont="1" applyFill="1" applyBorder="1" applyAlignment="1">
      <alignment horizontal="left" wrapText="1"/>
    </xf>
    <xf numFmtId="0" fontId="1" fillId="4" borderId="53" xfId="0" applyFont="1" applyFill="1" applyBorder="1" applyAlignment="1">
      <alignment horizontal="left" wrapText="1"/>
    </xf>
    <xf numFmtId="0" fontId="57" fillId="4" borderId="52" xfId="0" applyFont="1" applyFill="1" applyBorder="1" applyAlignment="1">
      <alignment horizontal="center"/>
    </xf>
    <xf numFmtId="0" fontId="57" fillId="4" borderId="53" xfId="0" applyFont="1" applyFill="1" applyBorder="1" applyAlignment="1">
      <alignment horizontal="center"/>
    </xf>
    <xf numFmtId="0" fontId="60" fillId="4" borderId="42" xfId="0" applyFont="1" applyFill="1" applyBorder="1" applyAlignment="1">
      <alignment horizontal="center" vertical="center" wrapText="1"/>
    </xf>
    <xf numFmtId="0" fontId="60" fillId="4" borderId="54" xfId="0" applyFont="1" applyFill="1" applyBorder="1" applyAlignment="1">
      <alignment horizontal="center" vertical="center" wrapText="1"/>
    </xf>
    <xf numFmtId="0" fontId="60" fillId="4" borderId="43" xfId="0" applyFont="1" applyFill="1" applyBorder="1" applyAlignment="1">
      <alignment horizontal="center" vertical="center" wrapText="1"/>
    </xf>
    <xf numFmtId="0" fontId="38" fillId="0" borderId="51" xfId="709" applyFont="1" applyBorder="1" applyAlignment="1">
      <alignment horizontal="center"/>
    </xf>
    <xf numFmtId="0" fontId="38" fillId="0" borderId="52" xfId="709" applyFont="1" applyBorder="1" applyAlignment="1">
      <alignment horizontal="center"/>
    </xf>
    <xf numFmtId="0" fontId="38" fillId="0" borderId="53" xfId="709" applyFont="1" applyBorder="1" applyAlignment="1">
      <alignment horizontal="center"/>
    </xf>
    <xf numFmtId="0" fontId="57" fillId="4" borderId="23" xfId="0" applyFont="1" applyFill="1" applyBorder="1" applyAlignment="1">
      <alignment horizontal="center" vertical="center"/>
    </xf>
    <xf numFmtId="0" fontId="57" fillId="4" borderId="17" xfId="0" applyFont="1" applyFill="1" applyBorder="1" applyAlignment="1">
      <alignment horizontal="center" vertical="center"/>
    </xf>
    <xf numFmtId="0" fontId="57" fillId="4" borderId="24" xfId="0" applyFont="1" applyFill="1" applyBorder="1" applyAlignment="1">
      <alignment horizontal="center" vertical="center"/>
    </xf>
    <xf numFmtId="0" fontId="57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58" fillId="0" borderId="75" xfId="0" applyFont="1" applyBorder="1" applyAlignment="1">
      <alignment horizontal="center" wrapText="1"/>
    </xf>
    <xf numFmtId="0" fontId="59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1" fillId="2" borderId="5" xfId="0" applyFont="1" applyFill="1" applyBorder="1" applyAlignment="1">
      <alignment horizontal="center" vertical="center" wrapText="1"/>
    </xf>
    <xf numFmtId="0" fontId="61" fillId="2" borderId="10" xfId="0" applyFont="1" applyFill="1" applyBorder="1" applyAlignment="1">
      <alignment horizontal="center" vertical="center" wrapText="1"/>
    </xf>
    <xf numFmtId="0" fontId="61" fillId="2" borderId="6" xfId="0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48" fillId="4" borderId="71" xfId="709" applyFont="1" applyFill="1" applyBorder="1" applyAlignment="1">
      <alignment horizontal="center" wrapText="1"/>
    </xf>
    <xf numFmtId="0" fontId="48" fillId="4" borderId="23" xfId="709" applyFont="1" applyFill="1" applyBorder="1" applyAlignment="1">
      <alignment horizontal="center" wrapText="1"/>
    </xf>
    <xf numFmtId="0" fontId="48" fillId="4" borderId="17" xfId="709" applyFont="1" applyFill="1" applyBorder="1" applyAlignment="1">
      <alignment horizontal="center" wrapText="1"/>
    </xf>
    <xf numFmtId="0" fontId="48" fillId="4" borderId="40" xfId="709" applyFont="1" applyFill="1" applyBorder="1" applyAlignment="1">
      <alignment horizontal="center" wrapText="1"/>
    </xf>
    <xf numFmtId="0" fontId="48" fillId="4" borderId="2" xfId="709" applyFont="1" applyFill="1" applyBorder="1" applyAlignment="1">
      <alignment horizontal="center" wrapText="1"/>
    </xf>
    <xf numFmtId="0" fontId="48" fillId="4" borderId="45" xfId="709" applyFont="1" applyFill="1" applyBorder="1" applyAlignment="1">
      <alignment horizontal="center" wrapText="1"/>
    </xf>
    <xf numFmtId="0" fontId="38" fillId="0" borderId="12" xfId="709" applyFont="1" applyBorder="1" applyAlignment="1">
      <alignment horizontal="center"/>
    </xf>
    <xf numFmtId="0" fontId="38" fillId="0" borderId="47" xfId="709" applyFont="1" applyBorder="1" applyAlignment="1">
      <alignment horizontal="center"/>
    </xf>
    <xf numFmtId="0" fontId="38" fillId="0" borderId="27" xfId="709" applyFont="1" applyBorder="1" applyAlignment="1">
      <alignment horizontal="center"/>
    </xf>
    <xf numFmtId="0" fontId="38" fillId="0" borderId="35" xfId="709" applyFont="1" applyBorder="1" applyAlignment="1">
      <alignment horizontal="center"/>
    </xf>
    <xf numFmtId="0" fontId="38" fillId="0" borderId="48" xfId="709" applyFont="1" applyBorder="1" applyAlignment="1">
      <alignment horizontal="center"/>
    </xf>
    <xf numFmtId="0" fontId="38" fillId="0" borderId="36" xfId="709" applyFont="1" applyBorder="1" applyAlignment="1">
      <alignment horizontal="center"/>
    </xf>
    <xf numFmtId="0" fontId="55" fillId="4" borderId="67" xfId="709" applyFont="1" applyFill="1" applyBorder="1" applyAlignment="1">
      <alignment horizontal="center"/>
    </xf>
    <xf numFmtId="0" fontId="55" fillId="4" borderId="52" xfId="709" applyFont="1" applyFill="1" applyBorder="1" applyAlignment="1">
      <alignment horizontal="center"/>
    </xf>
    <xf numFmtId="0" fontId="55" fillId="4" borderId="53" xfId="709" applyFont="1" applyFill="1" applyBorder="1" applyAlignment="1">
      <alignment horizontal="center"/>
    </xf>
    <xf numFmtId="0" fontId="38" fillId="0" borderId="25" xfId="709" applyFont="1" applyBorder="1" applyAlignment="1">
      <alignment horizontal="center"/>
    </xf>
    <xf numFmtId="0" fontId="38" fillId="0" borderId="14" xfId="709" applyFont="1" applyBorder="1" applyAlignment="1">
      <alignment horizontal="center"/>
    </xf>
    <xf numFmtId="0" fontId="38" fillId="0" borderId="15" xfId="709" applyFont="1" applyBorder="1" applyAlignment="1">
      <alignment horizontal="center"/>
    </xf>
    <xf numFmtId="0" fontId="56" fillId="4" borderId="67" xfId="709" applyFont="1" applyFill="1" applyBorder="1" applyAlignment="1">
      <alignment horizontal="center"/>
    </xf>
    <xf numFmtId="0" fontId="56" fillId="4" borderId="52" xfId="709" applyFont="1" applyFill="1" applyBorder="1" applyAlignment="1">
      <alignment horizontal="center"/>
    </xf>
    <xf numFmtId="0" fontId="56" fillId="4" borderId="53" xfId="709" applyFont="1" applyFill="1" applyBorder="1" applyAlignment="1">
      <alignment horizontal="center"/>
    </xf>
    <xf numFmtId="0" fontId="32" fillId="8" borderId="19" xfId="0" applyFont="1" applyFill="1" applyBorder="1" applyAlignment="1">
      <alignment horizontal="left" vertical="center" wrapText="1"/>
    </xf>
    <xf numFmtId="0" fontId="32" fillId="8" borderId="0" xfId="0" applyFont="1" applyFill="1" applyBorder="1" applyAlignment="1">
      <alignment horizontal="left" vertical="center" wrapText="1"/>
    </xf>
    <xf numFmtId="0" fontId="32" fillId="8" borderId="20" xfId="0" applyFont="1" applyFill="1" applyBorder="1" applyAlignment="1">
      <alignment horizontal="left" vertical="center" wrapText="1"/>
    </xf>
    <xf numFmtId="0" fontId="32" fillId="8" borderId="21" xfId="0" applyFont="1" applyFill="1" applyBorder="1" applyAlignment="1">
      <alignment horizontal="left" vertical="center" wrapText="1"/>
    </xf>
    <xf numFmtId="0" fontId="32" fillId="8" borderId="24" xfId="0" applyFont="1" applyFill="1" applyBorder="1" applyAlignment="1">
      <alignment horizontal="left" vertical="center" wrapText="1"/>
    </xf>
    <xf numFmtId="0" fontId="32" fillId="8" borderId="22" xfId="0" applyFont="1" applyFill="1" applyBorder="1" applyAlignment="1">
      <alignment horizontal="left" vertical="center" wrapText="1"/>
    </xf>
    <xf numFmtId="0" fontId="14" fillId="4" borderId="44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4" fontId="14" fillId="3" borderId="13" xfId="0" applyNumberFormat="1" applyFont="1" applyFill="1" applyBorder="1" applyAlignment="1">
      <alignment horizontal="center" vertical="center"/>
    </xf>
    <xf numFmtId="4" fontId="14" fillId="3" borderId="15" xfId="0" applyNumberFormat="1" applyFont="1" applyFill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14" fontId="13" fillId="4" borderId="19" xfId="0" applyNumberFormat="1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14" fontId="13" fillId="4" borderId="21" xfId="0" applyNumberFormat="1" applyFont="1" applyFill="1" applyBorder="1" applyAlignment="1">
      <alignment horizontal="center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left" vertical="center" wrapText="1"/>
    </xf>
    <xf numFmtId="0" fontId="14" fillId="3" borderId="52" xfId="0" applyFont="1" applyFill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 vertical="center"/>
    </xf>
    <xf numFmtId="4" fontId="14" fillId="3" borderId="36" xfId="0" applyNumberFormat="1" applyFont="1" applyFill="1" applyBorder="1" applyAlignment="1">
      <alignment horizontal="center" vertical="center"/>
    </xf>
    <xf numFmtId="14" fontId="33" fillId="6" borderId="63" xfId="0" applyNumberFormat="1" applyFont="1" applyFill="1" applyBorder="1" applyAlignment="1">
      <alignment horizontal="center" vertical="center"/>
    </xf>
    <xf numFmtId="14" fontId="33" fillId="6" borderId="59" xfId="0" applyNumberFormat="1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right" vertical="top"/>
    </xf>
    <xf numFmtId="0" fontId="13" fillId="4" borderId="23" xfId="0" applyFont="1" applyFill="1" applyBorder="1" applyAlignment="1">
      <alignment horizontal="right" vertical="top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14" fontId="33" fillId="6" borderId="65" xfId="0" applyNumberFormat="1" applyFont="1" applyFill="1" applyBorder="1" applyAlignment="1">
      <alignment horizontal="center" vertical="center"/>
    </xf>
    <xf numFmtId="14" fontId="33" fillId="6" borderId="57" xfId="0" applyNumberFormat="1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/>
    </xf>
    <xf numFmtId="4" fontId="14" fillId="3" borderId="36" xfId="0" applyNumberFormat="1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14" fontId="23" fillId="4" borderId="19" xfId="0" applyNumberFormat="1" applyFont="1" applyFill="1" applyBorder="1" applyAlignment="1">
      <alignment horizontal="center"/>
    </xf>
    <xf numFmtId="14" fontId="23" fillId="4" borderId="0" xfId="0" applyNumberFormat="1" applyFont="1" applyFill="1" applyBorder="1" applyAlignment="1">
      <alignment horizontal="center"/>
    </xf>
    <xf numFmtId="14" fontId="23" fillId="4" borderId="20" xfId="0" applyNumberFormat="1" applyFont="1" applyFill="1" applyBorder="1" applyAlignment="1">
      <alignment horizontal="center"/>
    </xf>
    <xf numFmtId="0" fontId="32" fillId="4" borderId="51" xfId="0" applyFont="1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wrapText="1"/>
    </xf>
    <xf numFmtId="0" fontId="14" fillId="4" borderId="15" xfId="0" applyFont="1" applyFill="1" applyBorder="1" applyAlignment="1">
      <alignment horizontal="left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center" vertical="center"/>
      <protection locked="0"/>
    </xf>
    <xf numFmtId="0" fontId="14" fillId="7" borderId="27" xfId="0" applyFont="1" applyFill="1" applyBorder="1" applyAlignment="1" applyProtection="1">
      <alignment horizontal="center" vertical="center"/>
      <protection locked="0"/>
    </xf>
    <xf numFmtId="4" fontId="14" fillId="0" borderId="56" xfId="0" applyNumberFormat="1" applyFont="1" applyBorder="1" applyAlignment="1" applyProtection="1">
      <alignment horizontal="center" vertical="center"/>
    </xf>
    <xf numFmtId="4" fontId="14" fillId="0" borderId="48" xfId="0" applyNumberFormat="1" applyFont="1" applyBorder="1" applyAlignment="1" applyProtection="1">
      <alignment horizontal="center" vertical="center"/>
    </xf>
    <xf numFmtId="4" fontId="14" fillId="0" borderId="36" xfId="0" applyNumberFormat="1" applyFont="1" applyBorder="1" applyAlignment="1" applyProtection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51" fillId="8" borderId="21" xfId="0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22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3" fontId="13" fillId="4" borderId="58" xfId="0" applyNumberFormat="1" applyFont="1" applyFill="1" applyBorder="1" applyAlignment="1">
      <alignment horizontal="center" vertical="center" wrapText="1"/>
    </xf>
    <xf numFmtId="3" fontId="13" fillId="4" borderId="64" xfId="0" applyNumberFormat="1" applyFont="1" applyFill="1" applyBorder="1" applyAlignment="1">
      <alignment horizontal="center" vertic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63" fillId="4" borderId="19" xfId="0" applyFont="1" applyFill="1" applyBorder="1" applyAlignment="1">
      <alignment horizontal="center"/>
    </xf>
    <xf numFmtId="0" fontId="63" fillId="4" borderId="0" xfId="0" applyFont="1" applyFill="1" applyBorder="1" applyAlignment="1">
      <alignment horizontal="center"/>
    </xf>
    <xf numFmtId="0" fontId="63" fillId="4" borderId="20" xfId="0" applyFont="1" applyFill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14" fontId="33" fillId="6" borderId="61" xfId="0" applyNumberFormat="1" applyFont="1" applyFill="1" applyBorder="1" applyAlignment="1">
      <alignment horizontal="center" vertical="center"/>
    </xf>
    <xf numFmtId="14" fontId="33" fillId="6" borderId="66" xfId="0" applyNumberFormat="1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/>
    </xf>
    <xf numFmtId="0" fontId="14" fillId="4" borderId="47" xfId="0" applyFont="1" applyFill="1" applyBorder="1" applyAlignment="1">
      <alignment horizontal="left" vertical="center"/>
    </xf>
    <xf numFmtId="0" fontId="16" fillId="4" borderId="21" xfId="0" applyNumberFormat="1" applyFont="1" applyFill="1" applyBorder="1" applyAlignment="1">
      <alignment horizontal="center" vertical="center" wrapText="1"/>
    </xf>
    <xf numFmtId="0" fontId="16" fillId="4" borderId="24" xfId="0" applyNumberFormat="1" applyFont="1" applyFill="1" applyBorder="1" applyAlignment="1">
      <alignment horizontal="center" vertical="center" wrapText="1"/>
    </xf>
    <xf numFmtId="0" fontId="16" fillId="4" borderId="22" xfId="0" applyNumberFormat="1" applyFont="1" applyFill="1" applyBorder="1" applyAlignment="1">
      <alignment horizontal="center" vertical="center" wrapText="1"/>
    </xf>
    <xf numFmtId="4" fontId="14" fillId="0" borderId="48" xfId="0" applyNumberFormat="1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9" fontId="13" fillId="4" borderId="19" xfId="0" applyNumberFormat="1" applyFont="1" applyFill="1" applyBorder="1" applyAlignment="1">
      <alignment horizontal="center"/>
    </xf>
    <xf numFmtId="4" fontId="14" fillId="0" borderId="14" xfId="0" applyNumberFormat="1" applyFont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13" xfId="0" quotePrefix="1" applyFont="1" applyFill="1" applyBorder="1" applyAlignment="1">
      <alignment horizontal="left"/>
    </xf>
    <xf numFmtId="0" fontId="14" fillId="4" borderId="14" xfId="0" quotePrefix="1" applyFont="1" applyFill="1" applyBorder="1" applyAlignment="1">
      <alignment horizontal="left"/>
    </xf>
    <xf numFmtId="0" fontId="14" fillId="4" borderId="56" xfId="0" quotePrefix="1" applyFont="1" applyFill="1" applyBorder="1" applyAlignment="1">
      <alignment horizontal="left"/>
    </xf>
    <xf numFmtId="0" fontId="14" fillId="4" borderId="48" xfId="0" quotePrefix="1" applyFont="1" applyFill="1" applyBorder="1" applyAlignment="1">
      <alignment horizontal="left"/>
    </xf>
    <xf numFmtId="0" fontId="13" fillId="4" borderId="23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left"/>
    </xf>
    <xf numFmtId="0" fontId="14" fillId="4" borderId="52" xfId="0" applyFont="1" applyFill="1" applyBorder="1" applyAlignment="1">
      <alignment horizontal="left"/>
    </xf>
    <xf numFmtId="14" fontId="33" fillId="6" borderId="51" xfId="0" applyNumberFormat="1" applyFont="1" applyFill="1" applyBorder="1" applyAlignment="1">
      <alignment horizontal="center" vertical="center"/>
    </xf>
    <xf numFmtId="14" fontId="33" fillId="6" borderId="53" xfId="0" applyNumberFormat="1" applyFont="1" applyFill="1" applyBorder="1" applyAlignment="1">
      <alignment horizontal="center" vertical="center"/>
    </xf>
    <xf numFmtId="4" fontId="14" fillId="0" borderId="38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0" fontId="33" fillId="6" borderId="16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4" fontId="14" fillId="0" borderId="56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14" fontId="13" fillId="4" borderId="51" xfId="0" applyNumberFormat="1" applyFont="1" applyFill="1" applyBorder="1" applyAlignment="1">
      <alignment horizontal="center" vertical="center"/>
    </xf>
    <xf numFmtId="14" fontId="13" fillId="4" borderId="52" xfId="0" applyNumberFormat="1" applyFont="1" applyFill="1" applyBorder="1" applyAlignment="1">
      <alignment horizontal="center" vertical="center"/>
    </xf>
    <xf numFmtId="4" fontId="14" fillId="0" borderId="34" xfId="0" applyNumberFormat="1" applyFont="1" applyBorder="1" applyAlignment="1">
      <alignment horizontal="center"/>
    </xf>
    <xf numFmtId="9" fontId="13" fillId="4" borderId="51" xfId="0" applyNumberFormat="1" applyFont="1" applyFill="1" applyBorder="1" applyAlignment="1">
      <alignment horizontal="center" vertical="center" wrapText="1"/>
    </xf>
    <xf numFmtId="9" fontId="13" fillId="4" borderId="53" xfId="0" applyNumberFormat="1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4" fontId="14" fillId="0" borderId="44" xfId="0" applyNumberFormat="1" applyFont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0" fontId="13" fillId="4" borderId="43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top"/>
    </xf>
    <xf numFmtId="0" fontId="14" fillId="4" borderId="24" xfId="0" applyFont="1" applyFill="1" applyBorder="1" applyAlignment="1">
      <alignment horizontal="center" vertical="top"/>
    </xf>
    <xf numFmtId="0" fontId="14" fillId="4" borderId="22" xfId="0" applyFont="1" applyFill="1" applyBorder="1" applyAlignment="1">
      <alignment horizontal="center" vertical="top"/>
    </xf>
    <xf numFmtId="0" fontId="11" fillId="3" borderId="23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9" fontId="13" fillId="4" borderId="65" xfId="0" applyNumberFormat="1" applyFont="1" applyFill="1" applyBorder="1" applyAlignment="1">
      <alignment horizontal="center" vertical="center" wrapText="1"/>
    </xf>
    <xf numFmtId="9" fontId="13" fillId="4" borderId="57" xfId="0" applyNumberFormat="1" applyFont="1" applyFill="1" applyBorder="1" applyAlignment="1">
      <alignment horizontal="center" vertical="center" wrapText="1"/>
    </xf>
    <xf numFmtId="14" fontId="23" fillId="4" borderId="19" xfId="0" applyNumberFormat="1" applyFont="1" applyFill="1" applyBorder="1" applyAlignment="1">
      <alignment horizontal="center" vertical="center"/>
    </xf>
    <xf numFmtId="14" fontId="23" fillId="4" borderId="0" xfId="0" applyNumberFormat="1" applyFont="1" applyFill="1" applyBorder="1" applyAlignment="1">
      <alignment horizontal="center" vertical="center"/>
    </xf>
    <xf numFmtId="14" fontId="23" fillId="4" borderId="20" xfId="0" applyNumberFormat="1" applyFont="1" applyFill="1" applyBorder="1" applyAlignment="1">
      <alignment horizontal="center" vertical="center"/>
    </xf>
    <xf numFmtId="14" fontId="33" fillId="6" borderId="21" xfId="0" applyNumberFormat="1" applyFont="1" applyFill="1" applyBorder="1" applyAlignment="1">
      <alignment horizontal="center" vertical="center"/>
    </xf>
    <xf numFmtId="14" fontId="33" fillId="6" borderId="22" xfId="0" applyNumberFormat="1" applyFont="1" applyFill="1" applyBorder="1" applyAlignment="1">
      <alignment horizontal="center" vertical="center"/>
    </xf>
    <xf numFmtId="49" fontId="33" fillId="6" borderId="21" xfId="0" applyNumberFormat="1" applyFont="1" applyFill="1" applyBorder="1" applyAlignment="1">
      <alignment horizontal="center" vertical="center"/>
    </xf>
    <xf numFmtId="14" fontId="32" fillId="6" borderId="51" xfId="0" applyNumberFormat="1" applyFont="1" applyFill="1" applyBorder="1" applyAlignment="1">
      <alignment horizontal="center" vertical="center"/>
    </xf>
    <xf numFmtId="14" fontId="32" fillId="6" borderId="53" xfId="0" applyNumberFormat="1" applyFont="1" applyFill="1" applyBorder="1" applyAlignment="1">
      <alignment horizontal="center" vertical="center"/>
    </xf>
    <xf numFmtId="14" fontId="33" fillId="6" borderId="58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56" xfId="0" applyFont="1" applyFill="1" applyBorder="1" applyAlignment="1">
      <alignment horizontal="left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14" fontId="33" fillId="6" borderId="64" xfId="0" applyNumberFormat="1" applyFont="1" applyFill="1" applyBorder="1" applyAlignment="1">
      <alignment horizontal="center" vertical="center"/>
    </xf>
    <xf numFmtId="14" fontId="33" fillId="6" borderId="60" xfId="0" applyNumberFormat="1" applyFont="1" applyFill="1" applyBorder="1" applyAlignment="1">
      <alignment horizontal="center" vertical="center"/>
    </xf>
    <xf numFmtId="0" fontId="33" fillId="6" borderId="65" xfId="0" applyFont="1" applyFill="1" applyBorder="1" applyAlignment="1">
      <alignment horizontal="center" vertical="center"/>
    </xf>
    <xf numFmtId="0" fontId="33" fillId="6" borderId="67" xfId="0" applyFont="1" applyFill="1" applyBorder="1" applyAlignment="1">
      <alignment horizontal="center" vertical="center"/>
    </xf>
    <xf numFmtId="14" fontId="32" fillId="6" borderId="19" xfId="0" applyNumberFormat="1" applyFont="1" applyFill="1" applyBorder="1" applyAlignment="1">
      <alignment horizontal="center" vertical="center"/>
    </xf>
    <xf numFmtId="14" fontId="32" fillId="6" borderId="0" xfId="0" applyNumberFormat="1" applyFont="1" applyFill="1" applyBorder="1" applyAlignment="1">
      <alignment horizontal="center" vertical="center"/>
    </xf>
    <xf numFmtId="14" fontId="32" fillId="6" borderId="21" xfId="0" applyNumberFormat="1" applyFont="1" applyFill="1" applyBorder="1" applyAlignment="1">
      <alignment horizontal="center" vertical="center"/>
    </xf>
    <xf numFmtId="14" fontId="32" fillId="6" borderId="24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 applyProtection="1">
      <alignment horizontal="center" vertical="center"/>
      <protection locked="0"/>
    </xf>
    <xf numFmtId="0" fontId="23" fillId="4" borderId="23" xfId="0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19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23" fillId="4" borderId="20" xfId="0" applyFont="1" applyFill="1" applyBorder="1" applyAlignment="1" applyProtection="1">
      <alignment horizontal="center" vertical="center"/>
      <protection locked="0"/>
    </xf>
    <xf numFmtId="14" fontId="14" fillId="3" borderId="23" xfId="0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23" xfId="0" applyFont="1" applyFill="1" applyBorder="1" applyAlignment="1">
      <alignment horizontal="center" vertical="center"/>
    </xf>
    <xf numFmtId="0" fontId="39" fillId="8" borderId="17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left" vertical="center" wrapText="1"/>
    </xf>
    <xf numFmtId="0" fontId="32" fillId="8" borderId="23" xfId="0" applyFont="1" applyFill="1" applyBorder="1" applyAlignment="1">
      <alignment horizontal="left" vertical="center" wrapText="1"/>
    </xf>
    <xf numFmtId="0" fontId="32" fillId="8" borderId="17" xfId="0" applyFont="1" applyFill="1" applyBorder="1" applyAlignment="1">
      <alignment horizontal="left" vertical="center" wrapText="1"/>
    </xf>
    <xf numFmtId="14" fontId="32" fillId="8" borderId="51" xfId="0" applyNumberFormat="1" applyFont="1" applyFill="1" applyBorder="1" applyAlignment="1">
      <alignment horizontal="center" vertical="center"/>
    </xf>
    <xf numFmtId="14" fontId="32" fillId="8" borderId="5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4" borderId="51" xfId="0" applyNumberFormat="1" applyFont="1" applyFill="1" applyBorder="1" applyAlignment="1">
      <alignment horizontal="left" vertical="center" wrapText="1"/>
    </xf>
    <xf numFmtId="14" fontId="13" fillId="4" borderId="53" xfId="0" applyNumberFormat="1" applyFont="1" applyFill="1" applyBorder="1" applyAlignment="1">
      <alignment horizontal="left" vertical="center" wrapText="1"/>
    </xf>
    <xf numFmtId="14" fontId="13" fillId="4" borderId="51" xfId="0" applyNumberFormat="1" applyFont="1" applyFill="1" applyBorder="1" applyAlignment="1">
      <alignment horizontal="left"/>
    </xf>
    <xf numFmtId="14" fontId="13" fillId="4" borderId="53" xfId="0" applyNumberFormat="1" applyFont="1" applyFill="1" applyBorder="1" applyAlignment="1">
      <alignment horizontal="left"/>
    </xf>
    <xf numFmtId="0" fontId="23" fillId="4" borderId="51" xfId="0" applyFont="1" applyFill="1" applyBorder="1" applyAlignment="1">
      <alignment horizontal="center" vertical="center" wrapText="1"/>
    </xf>
    <xf numFmtId="0" fontId="23" fillId="4" borderId="52" xfId="0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14" fontId="23" fillId="4" borderId="21" xfId="0" applyNumberFormat="1" applyFont="1" applyFill="1" applyBorder="1" applyAlignment="1">
      <alignment horizontal="center" vertical="center"/>
    </xf>
    <xf numFmtId="14" fontId="23" fillId="4" borderId="24" xfId="0" applyNumberFormat="1" applyFont="1" applyFill="1" applyBorder="1" applyAlignment="1">
      <alignment horizontal="center" vertical="center"/>
    </xf>
    <xf numFmtId="14" fontId="23" fillId="4" borderId="2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center" wrapText="1"/>
    </xf>
    <xf numFmtId="14" fontId="13" fillId="3" borderId="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 wrapText="1"/>
    </xf>
    <xf numFmtId="4" fontId="80" fillId="0" borderId="39" xfId="0" applyNumberFormat="1" applyFont="1" applyBorder="1" applyAlignment="1" applyProtection="1">
      <alignment horizontal="center"/>
    </xf>
    <xf numFmtId="4" fontId="80" fillId="0" borderId="37" xfId="0" applyNumberFormat="1" applyFont="1" applyBorder="1" applyAlignment="1" applyProtection="1">
      <alignment horizontal="center"/>
    </xf>
    <xf numFmtId="4" fontId="80" fillId="0" borderId="10" xfId="0" applyNumberFormat="1" applyFont="1" applyBorder="1" applyAlignment="1" applyProtection="1">
      <alignment horizontal="center"/>
    </xf>
    <xf numFmtId="4" fontId="80" fillId="0" borderId="11" xfId="0" applyNumberFormat="1" applyFont="1" applyBorder="1" applyAlignment="1" applyProtection="1">
      <alignment horizontal="center"/>
    </xf>
    <xf numFmtId="0" fontId="14" fillId="4" borderId="5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71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10" fontId="14" fillId="4" borderId="35" xfId="0" applyNumberFormat="1" applyFont="1" applyFill="1" applyBorder="1" applyAlignment="1">
      <alignment horizontal="center" vertical="center" wrapText="1"/>
    </xf>
    <xf numFmtId="10" fontId="14" fillId="4" borderId="36" xfId="0" applyNumberFormat="1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80" fillId="4" borderId="9" xfId="0" applyFont="1" applyFill="1" applyBorder="1" applyAlignment="1">
      <alignment horizontal="center" vertical="center" wrapText="1"/>
    </xf>
    <xf numFmtId="0" fontId="80" fillId="4" borderId="10" xfId="0" applyFont="1" applyFill="1" applyBorder="1" applyAlignment="1">
      <alignment horizontal="center" vertical="center" wrapText="1"/>
    </xf>
    <xf numFmtId="0" fontId="80" fillId="4" borderId="11" xfId="0" applyFont="1" applyFill="1" applyBorder="1" applyAlignment="1">
      <alignment horizontal="center" vertical="center" wrapText="1"/>
    </xf>
    <xf numFmtId="0" fontId="80" fillId="4" borderId="4" xfId="0" applyFont="1" applyFill="1" applyBorder="1" applyAlignment="1">
      <alignment horizontal="center" vertical="center" wrapText="1"/>
    </xf>
    <xf numFmtId="0" fontId="80" fillId="4" borderId="5" xfId="0" applyFont="1" applyFill="1" applyBorder="1" applyAlignment="1">
      <alignment horizontal="center" vertical="center" wrapText="1"/>
    </xf>
    <xf numFmtId="0" fontId="80" fillId="4" borderId="6" xfId="0" applyFont="1" applyFill="1" applyBorder="1" applyAlignment="1">
      <alignment horizontal="center" vertical="center" wrapText="1"/>
    </xf>
    <xf numFmtId="0" fontId="80" fillId="4" borderId="7" xfId="0" applyFont="1" applyFill="1" applyBorder="1" applyAlignment="1">
      <alignment horizontal="center" vertical="center" wrapText="1"/>
    </xf>
    <xf numFmtId="0" fontId="80" fillId="4" borderId="1" xfId="0" applyFont="1" applyFill="1" applyBorder="1" applyAlignment="1">
      <alignment horizontal="center" vertical="center" wrapText="1"/>
    </xf>
    <xf numFmtId="0" fontId="80" fillId="4" borderId="8" xfId="0" applyFont="1" applyFill="1" applyBorder="1" applyAlignment="1">
      <alignment horizontal="center" vertical="center" wrapText="1"/>
    </xf>
    <xf numFmtId="0" fontId="80" fillId="4" borderId="75" xfId="0" applyFont="1" applyFill="1" applyBorder="1" applyAlignment="1">
      <alignment horizontal="center" vertical="center" wrapText="1"/>
    </xf>
    <xf numFmtId="0" fontId="80" fillId="4" borderId="76" xfId="0" applyFont="1" applyFill="1" applyBorder="1" applyAlignment="1">
      <alignment horizontal="center" vertical="center" wrapText="1"/>
    </xf>
    <xf numFmtId="4" fontId="14" fillId="0" borderId="39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0" fontId="32" fillId="8" borderId="5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/>
    </xf>
    <xf numFmtId="4" fontId="14" fillId="0" borderId="32" xfId="0" applyNumberFormat="1" applyFont="1" applyBorder="1" applyAlignment="1">
      <alignment horizontal="center"/>
    </xf>
    <xf numFmtId="4" fontId="14" fillId="0" borderId="78" xfId="0" applyNumberFormat="1" applyFont="1" applyBorder="1" applyAlignment="1">
      <alignment horizontal="center"/>
    </xf>
    <xf numFmtId="0" fontId="14" fillId="4" borderId="2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75" fillId="11" borderId="51" xfId="0" applyFont="1" applyFill="1" applyBorder="1" applyAlignment="1" applyProtection="1">
      <alignment horizontal="center" vertical="top" wrapText="1"/>
    </xf>
    <xf numFmtId="0" fontId="75" fillId="11" borderId="52" xfId="0" applyFont="1" applyFill="1" applyBorder="1" applyAlignment="1" applyProtection="1">
      <alignment horizontal="center" vertical="top" wrapText="1"/>
    </xf>
    <xf numFmtId="0" fontId="75" fillId="11" borderId="53" xfId="0" applyFont="1" applyFill="1" applyBorder="1" applyAlignment="1" applyProtection="1">
      <alignment horizontal="center" vertical="top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80" fillId="3" borderId="0" xfId="0" applyFont="1" applyFill="1" applyBorder="1" applyAlignment="1">
      <alignment horizontal="left" vertical="center" wrapText="1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4" fontId="14" fillId="0" borderId="39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center" vertical="center"/>
    </xf>
    <xf numFmtId="4" fontId="14" fillId="0" borderId="77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80" fillId="0" borderId="31" xfId="0" applyNumberFormat="1" applyFont="1" applyBorder="1" applyAlignment="1">
      <alignment horizontal="center"/>
    </xf>
    <xf numFmtId="4" fontId="80" fillId="0" borderId="77" xfId="0" applyNumberFormat="1" applyFont="1" applyBorder="1" applyAlignment="1">
      <alignment horizontal="center"/>
    </xf>
    <xf numFmtId="4" fontId="80" fillId="0" borderId="55" xfId="0" applyNumberFormat="1" applyFont="1" applyBorder="1" applyAlignment="1">
      <alignment horizontal="center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14" fontId="33" fillId="6" borderId="56" xfId="0" applyNumberFormat="1" applyFont="1" applyFill="1" applyBorder="1" applyAlignment="1">
      <alignment horizontal="center" vertical="center" wrapText="1"/>
    </xf>
    <xf numFmtId="14" fontId="33" fillId="6" borderId="18" xfId="0" applyNumberFormat="1" applyFont="1" applyFill="1" applyBorder="1" applyAlignment="1">
      <alignment horizontal="center" vertical="center" wrapText="1"/>
    </xf>
    <xf numFmtId="49" fontId="13" fillId="4" borderId="35" xfId="0" applyNumberFormat="1" applyFont="1" applyFill="1" applyBorder="1" applyAlignment="1">
      <alignment horizontal="center" vertical="center" wrapText="1"/>
    </xf>
    <xf numFmtId="49" fontId="13" fillId="4" borderId="18" xfId="0" applyNumberFormat="1" applyFont="1" applyFill="1" applyBorder="1" applyAlignment="1">
      <alignment horizontal="center" vertical="center" wrapText="1"/>
    </xf>
    <xf numFmtId="4" fontId="80" fillId="0" borderId="3" xfId="0" applyNumberFormat="1" applyFont="1" applyBorder="1" applyAlignment="1">
      <alignment horizontal="center"/>
    </xf>
    <xf numFmtId="4" fontId="80" fillId="0" borderId="12" xfId="0" applyNumberFormat="1" applyFont="1" applyBorder="1" applyAlignment="1">
      <alignment horizontal="center"/>
    </xf>
    <xf numFmtId="0" fontId="32" fillId="8" borderId="72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center" vertical="center" wrapText="1"/>
    </xf>
    <xf numFmtId="0" fontId="32" fillId="8" borderId="63" xfId="0" applyFont="1" applyFill="1" applyBorder="1" applyAlignment="1">
      <alignment horizontal="center" vertical="center" wrapText="1"/>
    </xf>
    <xf numFmtId="0" fontId="32" fillId="8" borderId="39" xfId="0" applyFont="1" applyFill="1" applyBorder="1" applyAlignment="1">
      <alignment horizontal="center" vertical="center" wrapText="1"/>
    </xf>
    <xf numFmtId="0" fontId="32" fillId="8" borderId="59" xfId="0" applyFont="1" applyFill="1" applyBorder="1" applyAlignment="1">
      <alignment horizontal="center" vertical="center" wrapText="1"/>
    </xf>
    <xf numFmtId="0" fontId="32" fillId="8" borderId="37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4" fontId="80" fillId="0" borderId="18" xfId="0" applyNumberFormat="1" applyFont="1" applyBorder="1" applyAlignment="1">
      <alignment horizontal="center"/>
    </xf>
    <xf numFmtId="4" fontId="80" fillId="0" borderId="11" xfId="0" applyNumberFormat="1" applyFont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4" fontId="80" fillId="3" borderId="48" xfId="0" applyNumberFormat="1" applyFont="1" applyFill="1" applyBorder="1" applyAlignment="1">
      <alignment horizontal="center"/>
    </xf>
    <xf numFmtId="4" fontId="80" fillId="3" borderId="18" xfId="0" applyNumberFormat="1" applyFont="1" applyFill="1" applyBorder="1" applyAlignment="1">
      <alignment horizontal="center"/>
    </xf>
    <xf numFmtId="0" fontId="86" fillId="0" borderId="23" xfId="0" applyFont="1" applyBorder="1" applyAlignment="1">
      <alignment horizontal="left" vertical="top" wrapText="1"/>
    </xf>
    <xf numFmtId="0" fontId="86" fillId="0" borderId="0" xfId="0" applyFont="1" applyBorder="1" applyAlignment="1">
      <alignment horizontal="left" vertical="top" wrapText="1"/>
    </xf>
    <xf numFmtId="0" fontId="86" fillId="0" borderId="24" xfId="0" applyFont="1" applyBorder="1" applyAlignment="1">
      <alignment horizontal="left" vertical="top" wrapText="1"/>
    </xf>
    <xf numFmtId="0" fontId="77" fillId="4" borderId="25" xfId="0" applyFont="1" applyFill="1" applyBorder="1" applyAlignment="1">
      <alignment horizontal="center" vertical="center" wrapText="1"/>
    </xf>
    <xf numFmtId="0" fontId="77" fillId="4" borderId="14" xfId="0" applyFont="1" applyFill="1" applyBorder="1" applyAlignment="1">
      <alignment horizontal="center" vertical="center" wrapText="1"/>
    </xf>
    <xf numFmtId="0" fontId="77" fillId="4" borderId="15" xfId="0" applyFont="1" applyFill="1" applyBorder="1" applyAlignment="1">
      <alignment horizontal="center" vertical="center" wrapText="1"/>
    </xf>
    <xf numFmtId="49" fontId="79" fillId="4" borderId="74" xfId="0" applyNumberFormat="1" applyFont="1" applyFill="1" applyBorder="1" applyAlignment="1">
      <alignment horizontal="center" vertical="center" wrapText="1"/>
    </xf>
    <xf numFmtId="49" fontId="79" fillId="4" borderId="29" xfId="0" applyNumberFormat="1" applyFont="1" applyFill="1" applyBorder="1" applyAlignment="1">
      <alignment horizontal="center" vertical="center" wrapText="1"/>
    </xf>
    <xf numFmtId="49" fontId="79" fillId="4" borderId="30" xfId="0" applyNumberFormat="1" applyFont="1" applyFill="1" applyBorder="1" applyAlignment="1">
      <alignment horizontal="center" vertical="center" wrapText="1"/>
    </xf>
    <xf numFmtId="49" fontId="79" fillId="4" borderId="40" xfId="0" applyNumberFormat="1" applyFont="1" applyFill="1" applyBorder="1" applyAlignment="1">
      <alignment horizontal="center" vertical="center" wrapText="1"/>
    </xf>
    <xf numFmtId="49" fontId="79" fillId="4" borderId="2" xfId="0" applyNumberFormat="1" applyFont="1" applyFill="1" applyBorder="1" applyAlignment="1">
      <alignment horizontal="center" vertical="center" wrapText="1"/>
    </xf>
    <xf numFmtId="49" fontId="79" fillId="4" borderId="45" xfId="0" applyNumberFormat="1" applyFont="1" applyFill="1" applyBorder="1" applyAlignment="1">
      <alignment horizontal="center" vertical="center" wrapText="1"/>
    </xf>
    <xf numFmtId="0" fontId="77" fillId="4" borderId="10" xfId="0" applyFont="1" applyFill="1" applyBorder="1" applyAlignment="1">
      <alignment horizontal="center" vertical="center" wrapText="1"/>
    </xf>
    <xf numFmtId="0" fontId="77" fillId="4" borderId="21" xfId="0" applyFont="1" applyFill="1" applyBorder="1" applyAlignment="1">
      <alignment horizontal="center"/>
    </xf>
    <xf numFmtId="0" fontId="77" fillId="4" borderId="24" xfId="0" applyFont="1" applyFill="1" applyBorder="1" applyAlignment="1">
      <alignment horizontal="center"/>
    </xf>
    <xf numFmtId="0" fontId="77" fillId="4" borderId="0" xfId="0" applyFont="1" applyFill="1" applyBorder="1" applyAlignment="1">
      <alignment horizontal="center"/>
    </xf>
    <xf numFmtId="0" fontId="77" fillId="4" borderId="20" xfId="0" applyFont="1" applyFill="1" applyBorder="1" applyAlignment="1">
      <alignment horizontal="center"/>
    </xf>
    <xf numFmtId="0" fontId="80" fillId="4" borderId="42" xfId="0" applyFont="1" applyFill="1" applyBorder="1" applyAlignment="1">
      <alignment horizontal="center" vertical="center" wrapText="1"/>
    </xf>
    <xf numFmtId="0" fontId="80" fillId="4" borderId="54" xfId="0" applyFont="1" applyFill="1" applyBorder="1" applyAlignment="1">
      <alignment horizontal="center" vertical="center" wrapText="1"/>
    </xf>
    <xf numFmtId="0" fontId="80" fillId="4" borderId="43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 wrapText="1"/>
    </xf>
    <xf numFmtId="0" fontId="16" fillId="4" borderId="22" xfId="0" applyFont="1" applyFill="1" applyBorder="1" applyAlignment="1">
      <alignment horizont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80" fillId="4" borderId="62" xfId="0" applyFont="1" applyFill="1" applyBorder="1" applyAlignment="1">
      <alignment horizontal="center" vertical="center" wrapText="1"/>
    </xf>
    <xf numFmtId="0" fontId="80" fillId="4" borderId="49" xfId="0" applyFont="1" applyFill="1" applyBorder="1" applyAlignment="1">
      <alignment horizontal="center" vertical="center" wrapText="1"/>
    </xf>
    <xf numFmtId="0" fontId="80" fillId="4" borderId="50" xfId="0" applyFont="1" applyFill="1" applyBorder="1" applyAlignment="1">
      <alignment horizontal="center" vertical="center" wrapText="1"/>
    </xf>
    <xf numFmtId="0" fontId="80" fillId="4" borderId="26" xfId="0" applyFont="1" applyFill="1" applyBorder="1" applyAlignment="1">
      <alignment horizontal="center" vertical="center" wrapText="1"/>
    </xf>
    <xf numFmtId="0" fontId="80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80" fillId="0" borderId="8" xfId="0" applyNumberFormat="1" applyFont="1" applyBorder="1" applyAlignment="1">
      <alignment horizontal="center"/>
    </xf>
    <xf numFmtId="4" fontId="80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75" fillId="4" borderId="51" xfId="0" applyFont="1" applyFill="1" applyBorder="1" applyAlignment="1">
      <alignment horizontal="center" vertical="center" wrapText="1"/>
    </xf>
    <xf numFmtId="0" fontId="75" fillId="4" borderId="52" xfId="0" applyFont="1" applyFill="1" applyBorder="1" applyAlignment="1">
      <alignment horizontal="center" vertical="center" wrapText="1"/>
    </xf>
    <xf numFmtId="0" fontId="75" fillId="4" borderId="53" xfId="0" applyFont="1" applyFill="1" applyBorder="1" applyAlignment="1">
      <alignment horizontal="center" vertical="center" wrapText="1"/>
    </xf>
    <xf numFmtId="0" fontId="76" fillId="4" borderId="16" xfId="0" applyFont="1" applyFill="1" applyBorder="1" applyAlignment="1">
      <alignment horizontal="center"/>
    </xf>
    <xf numFmtId="0" fontId="76" fillId="4" borderId="23" xfId="0" applyFont="1" applyFill="1" applyBorder="1" applyAlignment="1">
      <alignment horizontal="center"/>
    </xf>
    <xf numFmtId="0" fontId="76" fillId="4" borderId="17" xfId="0" applyFont="1" applyFill="1" applyBorder="1" applyAlignment="1">
      <alignment horizontal="center"/>
    </xf>
    <xf numFmtId="4" fontId="80" fillId="3" borderId="39" xfId="0" applyNumberFormat="1" applyFont="1" applyFill="1" applyBorder="1" applyAlignment="1">
      <alignment horizontal="center"/>
    </xf>
    <xf numFmtId="4" fontId="80" fillId="3" borderId="10" xfId="0" applyNumberFormat="1" applyFont="1" applyFill="1" applyBorder="1" applyAlignment="1">
      <alignment horizontal="center"/>
    </xf>
    <xf numFmtId="0" fontId="77" fillId="4" borderId="42" xfId="0" applyFont="1" applyFill="1" applyBorder="1" applyAlignment="1">
      <alignment horizontal="center" vertical="center" wrapText="1"/>
    </xf>
    <xf numFmtId="0" fontId="77" fillId="4" borderId="54" xfId="0" applyFont="1" applyFill="1" applyBorder="1" applyAlignment="1">
      <alignment horizontal="center" vertical="center" wrapText="1"/>
    </xf>
    <xf numFmtId="0" fontId="77" fillId="4" borderId="43" xfId="0" applyFont="1" applyFill="1" applyBorder="1" applyAlignment="1">
      <alignment horizontal="center" vertical="center" wrapText="1"/>
    </xf>
    <xf numFmtId="0" fontId="77" fillId="4" borderId="16" xfId="0" applyFont="1" applyFill="1" applyBorder="1" applyAlignment="1">
      <alignment horizontal="center" vertical="center" wrapText="1"/>
    </xf>
    <xf numFmtId="0" fontId="77" fillId="4" borderId="23" xfId="0" applyFont="1" applyFill="1" applyBorder="1" applyAlignment="1">
      <alignment horizontal="center" vertical="center" wrapText="1"/>
    </xf>
    <xf numFmtId="0" fontId="77" fillId="4" borderId="72" xfId="0" applyFont="1" applyFill="1" applyBorder="1" applyAlignment="1">
      <alignment horizontal="center" vertical="center" wrapText="1"/>
    </xf>
    <xf numFmtId="14" fontId="78" fillId="6" borderId="28" xfId="0" applyNumberFormat="1" applyFont="1" applyFill="1" applyBorder="1" applyAlignment="1">
      <alignment horizontal="center" vertical="center" wrapText="1"/>
    </xf>
    <xf numFmtId="14" fontId="78" fillId="6" borderId="29" xfId="0" applyNumberFormat="1" applyFont="1" applyFill="1" applyBorder="1" applyAlignment="1">
      <alignment horizontal="center" vertical="center" wrapText="1"/>
    </xf>
    <xf numFmtId="14" fontId="78" fillId="6" borderId="73" xfId="0" applyNumberFormat="1" applyFont="1" applyFill="1" applyBorder="1" applyAlignment="1">
      <alignment horizontal="center" vertical="center" wrapText="1"/>
    </xf>
    <xf numFmtId="14" fontId="78" fillId="6" borderId="34" xfId="0" applyNumberFormat="1" applyFont="1" applyFill="1" applyBorder="1" applyAlignment="1">
      <alignment horizontal="center" vertical="center" wrapText="1"/>
    </xf>
    <xf numFmtId="14" fontId="78" fillId="6" borderId="2" xfId="0" applyNumberFormat="1" applyFont="1" applyFill="1" applyBorder="1" applyAlignment="1">
      <alignment horizontal="center" vertical="center" wrapText="1"/>
    </xf>
    <xf numFmtId="14" fontId="78" fillId="6" borderId="33" xfId="0" applyNumberFormat="1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85" fillId="4" borderId="51" xfId="0" applyFont="1" applyFill="1" applyBorder="1" applyAlignment="1" applyProtection="1">
      <alignment horizontal="center" vertical="center"/>
      <protection locked="0"/>
    </xf>
    <xf numFmtId="0" fontId="85" fillId="4" borderId="52" xfId="0" applyFont="1" applyFill="1" applyBorder="1" applyAlignment="1" applyProtection="1">
      <alignment horizontal="center" vertical="center"/>
      <protection locked="0"/>
    </xf>
    <xf numFmtId="0" fontId="85" fillId="4" borderId="5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4" fontId="80" fillId="0" borderId="33" xfId="0" applyNumberFormat="1" applyFont="1" applyBorder="1" applyAlignment="1">
      <alignment horizontal="center"/>
    </xf>
    <xf numFmtId="4" fontId="80" fillId="0" borderId="37" xfId="0" applyNumberFormat="1" applyFont="1" applyBorder="1" applyAlignment="1">
      <alignment horizontal="center"/>
    </xf>
    <xf numFmtId="4" fontId="80" fillId="4" borderId="32" xfId="0" applyNumberFormat="1" applyFont="1" applyFill="1" applyBorder="1" applyAlignment="1">
      <alignment horizontal="center"/>
    </xf>
    <xf numFmtId="4" fontId="80" fillId="4" borderId="78" xfId="0" applyNumberFormat="1" applyFont="1" applyFill="1" applyBorder="1" applyAlignment="1">
      <alignment horizontal="center"/>
    </xf>
    <xf numFmtId="4" fontId="80" fillId="4" borderId="55" xfId="0" applyNumberFormat="1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left" vertical="center"/>
    </xf>
    <xf numFmtId="4" fontId="80" fillId="0" borderId="40" xfId="0" applyNumberFormat="1" applyFont="1" applyBorder="1" applyAlignment="1">
      <alignment horizontal="center"/>
    </xf>
    <xf numFmtId="0" fontId="83" fillId="4" borderId="51" xfId="0" applyFont="1" applyFill="1" applyBorder="1" applyAlignment="1">
      <alignment horizontal="center" vertical="center"/>
    </xf>
    <xf numFmtId="0" fontId="83" fillId="4" borderId="52" xfId="0" applyFont="1" applyFill="1" applyBorder="1" applyAlignment="1">
      <alignment horizontal="center" vertical="center"/>
    </xf>
    <xf numFmtId="0" fontId="83" fillId="4" borderId="53" xfId="0" applyFont="1" applyFill="1" applyBorder="1" applyAlignment="1">
      <alignment horizontal="center" vertical="center"/>
    </xf>
    <xf numFmtId="0" fontId="80" fillId="4" borderId="56" xfId="0" applyFont="1" applyFill="1" applyBorder="1" applyAlignment="1">
      <alignment horizontal="center"/>
    </xf>
    <xf numFmtId="0" fontId="80" fillId="4" borderId="48" xfId="0" applyFont="1" applyFill="1" applyBorder="1" applyAlignment="1">
      <alignment horizontal="center"/>
    </xf>
    <xf numFmtId="0" fontId="80" fillId="4" borderId="36" xfId="0" applyFont="1" applyFill="1" applyBorder="1" applyAlignment="1">
      <alignment horizontal="center"/>
    </xf>
    <xf numFmtId="0" fontId="80" fillId="4" borderId="46" xfId="0" applyFont="1" applyFill="1" applyBorder="1" applyAlignment="1">
      <alignment horizontal="center" vertical="center" wrapText="1"/>
    </xf>
    <xf numFmtId="0" fontId="80" fillId="4" borderId="72" xfId="0" applyFont="1" applyFill="1" applyBorder="1" applyAlignment="1">
      <alignment horizontal="center" vertical="center" wrapText="1"/>
    </xf>
    <xf numFmtId="0" fontId="80" fillId="4" borderId="33" xfId="0" applyFont="1" applyFill="1" applyBorder="1" applyAlignment="1">
      <alignment horizontal="center" vertical="center" wrapText="1"/>
    </xf>
    <xf numFmtId="0" fontId="80" fillId="4" borderId="63" xfId="0" applyFont="1" applyFill="1" applyBorder="1" applyAlignment="1">
      <alignment horizontal="center" vertical="center" wrapText="1"/>
    </xf>
    <xf numFmtId="0" fontId="80" fillId="4" borderId="39" xfId="0" applyFont="1" applyFill="1" applyBorder="1" applyAlignment="1">
      <alignment horizontal="center" vertical="center" wrapText="1"/>
    </xf>
    <xf numFmtId="0" fontId="81" fillId="8" borderId="63" xfId="0" applyFont="1" applyFill="1" applyBorder="1" applyAlignment="1">
      <alignment horizontal="center" vertical="center" wrapText="1"/>
    </xf>
    <xf numFmtId="0" fontId="81" fillId="8" borderId="39" xfId="0" applyFont="1" applyFill="1" applyBorder="1" applyAlignment="1">
      <alignment horizontal="center" vertical="center" wrapText="1"/>
    </xf>
    <xf numFmtId="0" fontId="81" fillId="8" borderId="5" xfId="0" applyFont="1" applyFill="1" applyBorder="1" applyAlignment="1">
      <alignment horizontal="center" vertical="center" wrapText="1"/>
    </xf>
    <xf numFmtId="0" fontId="81" fillId="8" borderId="1" xfId="0" applyFont="1" applyFill="1" applyBorder="1" applyAlignment="1">
      <alignment horizontal="center" vertical="center" wrapText="1"/>
    </xf>
    <xf numFmtId="4" fontId="80" fillId="0" borderId="65" xfId="0" applyNumberFormat="1" applyFont="1" applyBorder="1" applyAlignment="1">
      <alignment horizontal="center"/>
    </xf>
    <xf numFmtId="4" fontId="80" fillId="0" borderId="66" xfId="0" applyNumberFormat="1" applyFont="1" applyBorder="1" applyAlignment="1">
      <alignment horizontal="center"/>
    </xf>
    <xf numFmtId="4" fontId="80" fillId="0" borderId="57" xfId="0" applyNumberFormat="1" applyFont="1" applyBorder="1" applyAlignment="1">
      <alignment horizontal="center"/>
    </xf>
    <xf numFmtId="0" fontId="76" fillId="4" borderId="13" xfId="0" applyFont="1" applyFill="1" applyBorder="1" applyAlignment="1">
      <alignment horizontal="center"/>
    </xf>
    <xf numFmtId="0" fontId="76" fillId="4" borderId="14" xfId="0" applyFont="1" applyFill="1" applyBorder="1" applyAlignment="1">
      <alignment horizontal="center"/>
    </xf>
    <xf numFmtId="0" fontId="76" fillId="4" borderId="1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wrapText="1"/>
    </xf>
    <xf numFmtId="0" fontId="10" fillId="4" borderId="23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wrapText="1"/>
    </xf>
    <xf numFmtId="0" fontId="72" fillId="8" borderId="16" xfId="0" applyFont="1" applyFill="1" applyBorder="1" applyAlignment="1">
      <alignment horizontal="center" vertical="center" wrapText="1"/>
    </xf>
    <xf numFmtId="0" fontId="72" fillId="8" borderId="23" xfId="0" applyFont="1" applyFill="1" applyBorder="1" applyAlignment="1">
      <alignment horizontal="center" vertical="center" wrapText="1"/>
    </xf>
    <xf numFmtId="0" fontId="72" fillId="8" borderId="72" xfId="0" applyFont="1" applyFill="1" applyBorder="1" applyAlignment="1">
      <alignment horizontal="center" vertical="center" wrapText="1"/>
    </xf>
    <xf numFmtId="0" fontId="72" fillId="8" borderId="19" xfId="0" applyFont="1" applyFill="1" applyBorder="1" applyAlignment="1">
      <alignment horizontal="center" vertical="center" wrapText="1"/>
    </xf>
    <xf numFmtId="0" fontId="72" fillId="8" borderId="0" xfId="0" applyFont="1" applyFill="1" applyBorder="1" applyAlignment="1">
      <alignment horizontal="center" vertical="center" wrapText="1"/>
    </xf>
    <xf numFmtId="0" fontId="72" fillId="8" borderId="70" xfId="0" applyFont="1" applyFill="1" applyBorder="1" applyAlignment="1">
      <alignment horizontal="center" vertical="center" wrapText="1"/>
    </xf>
    <xf numFmtId="14" fontId="25" fillId="6" borderId="21" xfId="0" applyNumberFormat="1" applyFont="1" applyFill="1" applyBorder="1" applyAlignment="1">
      <alignment horizontal="center" vertical="center" wrapText="1"/>
    </xf>
    <xf numFmtId="14" fontId="25" fillId="6" borderId="24" xfId="0" applyNumberFormat="1" applyFont="1" applyFill="1" applyBorder="1" applyAlignment="1">
      <alignment horizontal="center" vertical="center" wrapText="1"/>
    </xf>
    <xf numFmtId="14" fontId="25" fillId="6" borderId="32" xfId="0" applyNumberFormat="1" applyFont="1" applyFill="1" applyBorder="1" applyAlignment="1">
      <alignment horizontal="center" vertical="center" wrapText="1"/>
    </xf>
    <xf numFmtId="4" fontId="14" fillId="0" borderId="24" xfId="0" applyNumberFormat="1" applyFont="1" applyBorder="1" applyAlignment="1">
      <alignment horizontal="center"/>
    </xf>
    <xf numFmtId="0" fontId="16" fillId="4" borderId="71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79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49" fontId="17" fillId="4" borderId="78" xfId="0" applyNumberFormat="1" applyFont="1" applyFill="1" applyBorder="1" applyAlignment="1">
      <alignment horizontal="center" vertical="center" wrapText="1"/>
    </xf>
    <xf numFmtId="49" fontId="17" fillId="4" borderId="24" xfId="0" applyNumberFormat="1" applyFont="1" applyFill="1" applyBorder="1" applyAlignment="1">
      <alignment horizontal="center" vertical="center" wrapText="1"/>
    </xf>
    <xf numFmtId="49" fontId="17" fillId="4" borderId="22" xfId="0" applyNumberFormat="1" applyFont="1" applyFill="1" applyBorder="1" applyAlignment="1">
      <alignment horizontal="center" vertical="center" wrapText="1"/>
    </xf>
    <xf numFmtId="4" fontId="14" fillId="0" borderId="22" xfId="0" applyNumberFormat="1" applyFont="1" applyBorder="1" applyAlignment="1">
      <alignment horizontal="center"/>
    </xf>
    <xf numFmtId="0" fontId="76" fillId="4" borderId="51" xfId="0" applyFont="1" applyFill="1" applyBorder="1" applyAlignment="1">
      <alignment horizontal="center"/>
    </xf>
    <xf numFmtId="0" fontId="76" fillId="4" borderId="52" xfId="0" applyFont="1" applyFill="1" applyBorder="1" applyAlignment="1">
      <alignment horizontal="center"/>
    </xf>
    <xf numFmtId="0" fontId="76" fillId="4" borderId="53" xfId="0" applyFont="1" applyFill="1" applyBorder="1" applyAlignment="1">
      <alignment horizontal="center"/>
    </xf>
    <xf numFmtId="0" fontId="80" fillId="4" borderId="25" xfId="0" applyFont="1" applyFill="1" applyBorder="1" applyAlignment="1">
      <alignment horizontal="center" vertical="center" wrapText="1"/>
    </xf>
    <xf numFmtId="0" fontId="80" fillId="4" borderId="12" xfId="0" applyFont="1" applyFill="1" applyBorder="1" applyAlignment="1">
      <alignment horizontal="center" vertical="center" wrapText="1"/>
    </xf>
    <xf numFmtId="0" fontId="76" fillId="4" borderId="65" xfId="0" applyFont="1" applyFill="1" applyBorder="1" applyAlignment="1">
      <alignment horizontal="center"/>
    </xf>
    <xf numFmtId="0" fontId="76" fillId="4" borderId="66" xfId="0" applyFont="1" applyFill="1" applyBorder="1" applyAlignment="1">
      <alignment horizontal="center"/>
    </xf>
    <xf numFmtId="0" fontId="76" fillId="4" borderId="57" xfId="0" applyFont="1" applyFill="1" applyBorder="1" applyAlignment="1">
      <alignment horizontal="center"/>
    </xf>
    <xf numFmtId="0" fontId="77" fillId="4" borderId="9" xfId="0" applyFont="1" applyFill="1" applyBorder="1" applyAlignment="1">
      <alignment horizontal="center" vertical="center" wrapText="1"/>
    </xf>
    <xf numFmtId="4" fontId="80" fillId="3" borderId="2" xfId="0" applyNumberFormat="1" applyFont="1" applyFill="1" applyBorder="1" applyAlignment="1">
      <alignment horizontal="center"/>
    </xf>
    <xf numFmtId="4" fontId="80" fillId="3" borderId="33" xfId="0" applyNumberFormat="1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 vertical="top" wrapText="1" shrinkToFit="1"/>
    </xf>
    <xf numFmtId="0" fontId="16" fillId="4" borderId="23" xfId="0" applyFont="1" applyFill="1" applyBorder="1" applyAlignment="1">
      <alignment horizontal="left" vertical="top" wrapText="1" shrinkToFit="1"/>
    </xf>
    <xf numFmtId="0" fontId="16" fillId="4" borderId="17" xfId="0" applyFont="1" applyFill="1" applyBorder="1" applyAlignment="1">
      <alignment horizontal="left" vertical="top" wrapText="1" shrinkToFit="1"/>
    </xf>
    <xf numFmtId="0" fontId="16" fillId="4" borderId="19" xfId="0" applyFont="1" applyFill="1" applyBorder="1" applyAlignment="1">
      <alignment horizontal="left" vertical="top" wrapText="1" shrinkToFit="1"/>
    </xf>
    <xf numFmtId="0" fontId="16" fillId="4" borderId="0" xfId="0" applyFont="1" applyFill="1" applyBorder="1" applyAlignment="1">
      <alignment horizontal="left" vertical="top" wrapText="1" shrinkToFit="1"/>
    </xf>
    <xf numFmtId="0" fontId="16" fillId="4" borderId="20" xfId="0" applyFont="1" applyFill="1" applyBorder="1" applyAlignment="1">
      <alignment horizontal="left" vertical="top" wrapText="1" shrinkToFit="1"/>
    </xf>
    <xf numFmtId="0" fontId="16" fillId="4" borderId="21" xfId="0" applyFont="1" applyFill="1" applyBorder="1" applyAlignment="1">
      <alignment horizontal="left" vertical="top" wrapText="1" shrinkToFit="1"/>
    </xf>
    <xf numFmtId="0" fontId="16" fillId="4" borderId="24" xfId="0" applyFont="1" applyFill="1" applyBorder="1" applyAlignment="1">
      <alignment horizontal="left" vertical="top" wrapText="1" shrinkToFit="1"/>
    </xf>
    <xf numFmtId="0" fontId="16" fillId="4" borderId="22" xfId="0" applyFont="1" applyFill="1" applyBorder="1" applyAlignment="1">
      <alignment horizontal="left" vertical="top" wrapText="1" shrinkToFit="1"/>
    </xf>
    <xf numFmtId="0" fontId="17" fillId="4" borderId="23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 wrapText="1" shrinkToFit="1"/>
    </xf>
    <xf numFmtId="0" fontId="16" fillId="4" borderId="23" xfId="0" applyFont="1" applyFill="1" applyBorder="1" applyAlignment="1">
      <alignment horizontal="left" wrapText="1" shrinkToFit="1"/>
    </xf>
    <xf numFmtId="0" fontId="16" fillId="4" borderId="17" xfId="0" applyFont="1" applyFill="1" applyBorder="1" applyAlignment="1">
      <alignment horizontal="left" wrapText="1" shrinkToFit="1"/>
    </xf>
    <xf numFmtId="0" fontId="16" fillId="4" borderId="21" xfId="0" applyFont="1" applyFill="1" applyBorder="1" applyAlignment="1">
      <alignment horizontal="left" wrapText="1" shrinkToFit="1"/>
    </xf>
    <xf numFmtId="0" fontId="16" fillId="4" borderId="24" xfId="0" applyFont="1" applyFill="1" applyBorder="1" applyAlignment="1">
      <alignment horizontal="left" wrapText="1" shrinkToFit="1"/>
    </xf>
    <xf numFmtId="0" fontId="16" fillId="4" borderId="22" xfId="0" applyFont="1" applyFill="1" applyBorder="1" applyAlignment="1">
      <alignment horizontal="left" wrapText="1" shrinkToFit="1"/>
    </xf>
    <xf numFmtId="0" fontId="16" fillId="4" borderId="34" xfId="0" applyFont="1" applyFill="1" applyBorder="1" applyAlignment="1">
      <alignment horizontal="left" vertical="center" wrapText="1" shrinkToFit="1"/>
    </xf>
    <xf numFmtId="0" fontId="16" fillId="4" borderId="2" xfId="0" applyFont="1" applyFill="1" applyBorder="1" applyAlignment="1">
      <alignment horizontal="left" vertical="center" wrapText="1" shrinkToFit="1"/>
    </xf>
    <xf numFmtId="0" fontId="16" fillId="4" borderId="45" xfId="0" applyFont="1" applyFill="1" applyBorder="1" applyAlignment="1">
      <alignment horizontal="left" vertical="center" wrapText="1" shrinkToFit="1"/>
    </xf>
    <xf numFmtId="0" fontId="16" fillId="4" borderId="56" xfId="0" applyFont="1" applyFill="1" applyBorder="1" applyAlignment="1">
      <alignment horizontal="left" vertical="center" wrapText="1" shrinkToFit="1"/>
    </xf>
    <xf numFmtId="0" fontId="16" fillId="4" borderId="48" xfId="0" applyFont="1" applyFill="1" applyBorder="1" applyAlignment="1">
      <alignment horizontal="left" vertical="center" wrapText="1" shrinkToFit="1"/>
    </xf>
    <xf numFmtId="0" fontId="16" fillId="4" borderId="36" xfId="0" applyFont="1" applyFill="1" applyBorder="1" applyAlignment="1">
      <alignment horizontal="left" vertical="center" wrapText="1" shrinkToFit="1"/>
    </xf>
    <xf numFmtId="0" fontId="16" fillId="4" borderId="34" xfId="0" applyFont="1" applyFill="1" applyBorder="1" applyAlignment="1">
      <alignment horizontal="left" vertical="top" wrapText="1" shrinkToFit="1"/>
    </xf>
    <xf numFmtId="0" fontId="16" fillId="4" borderId="2" xfId="0" applyFont="1" applyFill="1" applyBorder="1" applyAlignment="1">
      <alignment horizontal="left" vertical="top" wrapText="1" shrinkToFit="1"/>
    </xf>
    <xf numFmtId="0" fontId="16" fillId="4" borderId="44" xfId="0" applyFont="1" applyFill="1" applyBorder="1" applyAlignment="1">
      <alignment horizontal="left" wrapText="1" shrinkToFit="1"/>
    </xf>
    <xf numFmtId="0" fontId="16" fillId="4" borderId="47" xfId="0" applyFont="1" applyFill="1" applyBorder="1" applyAlignment="1">
      <alignment horizontal="left" wrapText="1" shrinkToFit="1"/>
    </xf>
    <xf numFmtId="0" fontId="64" fillId="4" borderId="44" xfId="709" applyFont="1" applyFill="1" applyBorder="1" applyAlignment="1">
      <alignment horizontal="left"/>
    </xf>
    <xf numFmtId="0" fontId="64" fillId="4" borderId="47" xfId="709" applyFont="1" applyFill="1" applyBorder="1" applyAlignment="1">
      <alignment horizontal="left"/>
    </xf>
    <xf numFmtId="0" fontId="64" fillId="4" borderId="56" xfId="709" applyFont="1" applyFill="1" applyBorder="1" applyAlignment="1">
      <alignment horizontal="left"/>
    </xf>
    <xf numFmtId="0" fontId="64" fillId="4" borderId="48" xfId="709" applyFont="1" applyFill="1" applyBorder="1" applyAlignment="1">
      <alignment horizontal="left"/>
    </xf>
    <xf numFmtId="4" fontId="16" fillId="0" borderId="56" xfId="0" applyNumberFormat="1" applyFont="1" applyBorder="1" applyAlignment="1">
      <alignment horizontal="center"/>
    </xf>
    <xf numFmtId="4" fontId="16" fillId="0" borderId="36" xfId="0" applyNumberFormat="1" applyFont="1" applyBorder="1" applyAlignment="1">
      <alignment horizontal="center"/>
    </xf>
    <xf numFmtId="14" fontId="17" fillId="4" borderId="21" xfId="0" applyNumberFormat="1" applyFont="1" applyFill="1" applyBorder="1" applyAlignment="1">
      <alignment horizontal="center" vertical="center"/>
    </xf>
    <xf numFmtId="14" fontId="17" fillId="4" borderId="22" xfId="0" applyNumberFormat="1" applyFont="1" applyFill="1" applyBorder="1" applyAlignment="1">
      <alignment horizontal="center" vertical="center"/>
    </xf>
    <xf numFmtId="0" fontId="55" fillId="4" borderId="51" xfId="709" applyFont="1" applyFill="1" applyBorder="1" applyAlignment="1">
      <alignment horizontal="center"/>
    </xf>
    <xf numFmtId="4" fontId="16" fillId="0" borderId="13" xfId="0" applyNumberFormat="1" applyFont="1" applyBorder="1" applyAlignment="1">
      <alignment horizontal="center"/>
    </xf>
    <xf numFmtId="4" fontId="16" fillId="0" borderId="15" xfId="0" applyNumberFormat="1" applyFont="1" applyBorder="1" applyAlignment="1">
      <alignment horizontal="center"/>
    </xf>
    <xf numFmtId="14" fontId="17" fillId="4" borderId="24" xfId="0" applyNumberFormat="1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16" fillId="4" borderId="56" xfId="0" applyFont="1" applyFill="1" applyBorder="1" applyAlignment="1">
      <alignment horizontal="left"/>
    </xf>
    <xf numFmtId="0" fontId="16" fillId="4" borderId="48" xfId="0" applyFont="1" applyFill="1" applyBorder="1" applyAlignment="1">
      <alignment horizontal="left"/>
    </xf>
    <xf numFmtId="0" fontId="16" fillId="4" borderId="36" xfId="0" applyFont="1" applyFill="1" applyBorder="1" applyAlignment="1">
      <alignment horizontal="left"/>
    </xf>
    <xf numFmtId="4" fontId="16" fillId="0" borderId="14" xfId="0" applyNumberFormat="1" applyFont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22" xfId="0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left"/>
    </xf>
    <xf numFmtId="0" fontId="16" fillId="4" borderId="14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/>
    </xf>
    <xf numFmtId="0" fontId="17" fillId="4" borderId="22" xfId="0" applyFont="1" applyFill="1" applyBorder="1" applyAlignment="1">
      <alignment horizontal="center" vertical="center"/>
    </xf>
    <xf numFmtId="0" fontId="65" fillId="4" borderId="21" xfId="709" applyFont="1" applyFill="1" applyBorder="1" applyAlignment="1">
      <alignment horizontal="center" vertical="center" wrapText="1"/>
    </xf>
    <xf numFmtId="0" fontId="65" fillId="4" borderId="24" xfId="709" applyFont="1" applyFill="1" applyBorder="1" applyAlignment="1">
      <alignment horizontal="center" vertical="center" wrapText="1"/>
    </xf>
    <xf numFmtId="0" fontId="65" fillId="4" borderId="22" xfId="709" applyFont="1" applyFill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0" fontId="36" fillId="4" borderId="51" xfId="709" applyFont="1" applyFill="1" applyBorder="1" applyAlignment="1">
      <alignment horizontal="right" vertical="center"/>
    </xf>
    <xf numFmtId="0" fontId="36" fillId="4" borderId="52" xfId="709" applyFont="1" applyFill="1" applyBorder="1" applyAlignment="1">
      <alignment horizontal="right" vertical="center"/>
    </xf>
    <xf numFmtId="0" fontId="64" fillId="4" borderId="51" xfId="709" applyFont="1" applyFill="1" applyBorder="1" applyAlignment="1">
      <alignment horizontal="center" vertical="center"/>
    </xf>
    <xf numFmtId="0" fontId="64" fillId="4" borderId="52" xfId="709" applyFont="1" applyFill="1" applyBorder="1" applyAlignment="1">
      <alignment horizontal="center" vertical="center"/>
    </xf>
    <xf numFmtId="0" fontId="64" fillId="4" borderId="53" xfId="709" applyFont="1" applyFill="1" applyBorder="1" applyAlignment="1">
      <alignment horizontal="center" vertical="center"/>
    </xf>
    <xf numFmtId="0" fontId="36" fillId="4" borderId="51" xfId="709" applyFont="1" applyFill="1" applyBorder="1" applyAlignment="1" applyProtection="1">
      <alignment horizontal="center" vertical="center" wrapText="1"/>
      <protection locked="0"/>
    </xf>
    <xf numFmtId="0" fontId="36" fillId="4" borderId="53" xfId="709" applyFont="1" applyFill="1" applyBorder="1" applyAlignment="1" applyProtection="1">
      <alignment horizontal="center" vertical="center" wrapText="1"/>
      <protection locked="0"/>
    </xf>
    <xf numFmtId="0" fontId="36" fillId="4" borderId="51" xfId="709" applyFont="1" applyFill="1" applyBorder="1" applyAlignment="1">
      <alignment horizontal="center" vertical="center" wrapText="1"/>
    </xf>
    <xf numFmtId="0" fontId="36" fillId="4" borderId="53" xfId="709" applyFont="1" applyFill="1" applyBorder="1" applyAlignment="1">
      <alignment horizontal="center" vertical="center" wrapText="1"/>
    </xf>
    <xf numFmtId="0" fontId="36" fillId="4" borderId="51" xfId="709" applyFont="1" applyFill="1" applyBorder="1" applyAlignment="1" applyProtection="1">
      <alignment horizontal="center" vertical="center"/>
      <protection locked="0"/>
    </xf>
    <xf numFmtId="0" fontId="36" fillId="4" borderId="52" xfId="709" applyFont="1" applyFill="1" applyBorder="1" applyAlignment="1" applyProtection="1">
      <alignment horizontal="center" vertical="center"/>
      <protection locked="0"/>
    </xf>
    <xf numFmtId="0" fontId="36" fillId="4" borderId="53" xfId="709" applyFont="1" applyFill="1" applyBorder="1" applyAlignment="1" applyProtection="1">
      <alignment horizontal="center" vertical="center"/>
      <protection locked="0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center" vertical="center"/>
    </xf>
    <xf numFmtId="4" fontId="16" fillId="3" borderId="55" xfId="0" applyNumberFormat="1" applyFont="1" applyFill="1" applyBorder="1" applyAlignment="1">
      <alignment horizontal="center" vertical="center"/>
    </xf>
    <xf numFmtId="4" fontId="16" fillId="3" borderId="32" xfId="0" applyNumberFormat="1" applyFont="1" applyFill="1" applyBorder="1" applyAlignment="1">
      <alignment horizontal="center" vertical="center"/>
    </xf>
    <xf numFmtId="4" fontId="16" fillId="3" borderId="78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 shrinkToFit="1"/>
    </xf>
    <xf numFmtId="0" fontId="16" fillId="4" borderId="2" xfId="0" applyFont="1" applyFill="1" applyBorder="1" applyAlignment="1">
      <alignment horizontal="left" wrapText="1" shrinkToFit="1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14" fillId="4" borderId="56" xfId="0" applyFont="1" applyFill="1" applyBorder="1" applyAlignment="1">
      <alignment horizontal="left" vertical="center" wrapText="1" shrinkToFit="1"/>
    </xf>
    <xf numFmtId="0" fontId="14" fillId="4" borderId="48" xfId="0" applyFont="1" applyFill="1" applyBorder="1" applyAlignment="1">
      <alignment horizontal="left" vertical="center" wrapText="1" shrinkToFit="1"/>
    </xf>
    <xf numFmtId="0" fontId="14" fillId="4" borderId="28" xfId="0" applyFont="1" applyFill="1" applyBorder="1" applyAlignment="1">
      <alignment horizontal="center" vertical="center" wrapText="1" shrinkToFit="1"/>
    </xf>
    <xf numFmtId="0" fontId="14" fillId="4" borderId="29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 shrinkToFit="1"/>
    </xf>
    <xf numFmtId="0" fontId="14" fillId="4" borderId="15" xfId="0" applyFont="1" applyFill="1" applyBorder="1" applyAlignment="1">
      <alignment horizontal="center" vertical="center" wrapText="1" shrinkToFit="1"/>
    </xf>
    <xf numFmtId="0" fontId="14" fillId="4" borderId="44" xfId="0" applyFont="1" applyFill="1" applyBorder="1" applyAlignment="1">
      <alignment horizontal="left" vertical="center" wrapText="1" shrinkToFit="1"/>
    </xf>
    <xf numFmtId="0" fontId="14" fillId="4" borderId="47" xfId="0" applyFont="1" applyFill="1" applyBorder="1" applyAlignment="1">
      <alignment horizontal="left" vertical="center" wrapText="1" shrinkToFit="1"/>
    </xf>
    <xf numFmtId="0" fontId="13" fillId="4" borderId="28" xfId="0" applyFont="1" applyFill="1" applyBorder="1" applyAlignment="1">
      <alignment horizontal="left" vertical="center" wrapText="1" shrinkToFit="1"/>
    </xf>
    <xf numFmtId="0" fontId="13" fillId="4" borderId="29" xfId="0" applyFont="1" applyFill="1" applyBorder="1" applyAlignment="1">
      <alignment horizontal="left" vertical="center" wrapText="1" shrinkToFit="1"/>
    </xf>
    <xf numFmtId="0" fontId="13" fillId="4" borderId="30" xfId="0" applyFont="1" applyFill="1" applyBorder="1" applyAlignment="1">
      <alignment horizontal="left" vertical="center" wrapText="1" shrinkToFit="1"/>
    </xf>
    <xf numFmtId="0" fontId="13" fillId="4" borderId="34" xfId="0" applyFont="1" applyFill="1" applyBorder="1" applyAlignment="1">
      <alignment horizontal="left" vertical="center" wrapText="1" shrinkToFit="1"/>
    </xf>
    <xf numFmtId="0" fontId="13" fillId="4" borderId="2" xfId="0" applyFont="1" applyFill="1" applyBorder="1" applyAlignment="1">
      <alignment horizontal="left" vertical="center" wrapText="1" shrinkToFit="1"/>
    </xf>
    <xf numFmtId="0" fontId="13" fillId="4" borderId="45" xfId="0" applyFont="1" applyFill="1" applyBorder="1" applyAlignment="1">
      <alignment horizontal="left" vertical="center" wrapText="1" shrinkToFit="1"/>
    </xf>
    <xf numFmtId="0" fontId="38" fillId="4" borderId="44" xfId="709" applyFont="1" applyFill="1" applyBorder="1" applyAlignment="1">
      <alignment horizontal="left"/>
    </xf>
    <xf numFmtId="0" fontId="38" fillId="4" borderId="47" xfId="709" applyFont="1" applyFill="1" applyBorder="1" applyAlignment="1">
      <alignment horizontal="left"/>
    </xf>
    <xf numFmtId="0" fontId="23" fillId="4" borderId="19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36" fillId="4" borderId="51" xfId="709" applyFont="1" applyFill="1" applyBorder="1" applyAlignment="1">
      <alignment horizontal="center"/>
    </xf>
    <xf numFmtId="0" fontId="36" fillId="4" borderId="52" xfId="709" applyFont="1" applyFill="1" applyBorder="1" applyAlignment="1">
      <alignment horizontal="center"/>
    </xf>
    <xf numFmtId="0" fontId="36" fillId="4" borderId="53" xfId="709" applyFont="1" applyFill="1" applyBorder="1" applyAlignment="1">
      <alignment horizontal="center"/>
    </xf>
    <xf numFmtId="0" fontId="36" fillId="4" borderId="16" xfId="709" applyFont="1" applyFill="1" applyBorder="1" applyAlignment="1">
      <alignment horizontal="center"/>
    </xf>
    <xf numFmtId="0" fontId="36" fillId="4" borderId="23" xfId="709" applyFont="1" applyFill="1" applyBorder="1" applyAlignment="1">
      <alignment horizontal="center"/>
    </xf>
    <xf numFmtId="0" fontId="36" fillId="4" borderId="17" xfId="709" applyFont="1" applyFill="1" applyBorder="1" applyAlignment="1">
      <alignment horizontal="center"/>
    </xf>
    <xf numFmtId="0" fontId="46" fillId="0" borderId="0" xfId="709" applyFont="1" applyAlignment="1">
      <alignment horizontal="center"/>
    </xf>
    <xf numFmtId="0" fontId="47" fillId="0" borderId="0" xfId="709" applyFont="1" applyAlignment="1">
      <alignment horizontal="center"/>
    </xf>
    <xf numFmtId="0" fontId="14" fillId="4" borderId="9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horizontal="left" vertical="center" wrapText="1" shrinkToFit="1"/>
    </xf>
    <xf numFmtId="0" fontId="14" fillId="4" borderId="7" xfId="0" applyFont="1" applyFill="1" applyBorder="1" applyAlignment="1">
      <alignment horizontal="left" vertical="center" wrapText="1" shrinkToFi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3" borderId="61" xfId="0" applyFont="1" applyFill="1" applyBorder="1" applyAlignment="1">
      <alignment horizontal="left" vertical="center" wrapText="1"/>
    </xf>
    <xf numFmtId="0" fontId="41" fillId="0" borderId="0" xfId="709" applyFont="1" applyAlignment="1">
      <alignment horizontal="center"/>
    </xf>
    <xf numFmtId="0" fontId="48" fillId="0" borderId="0" xfId="709" applyFont="1" applyAlignment="1">
      <alignment horizontal="left" vertical="center" wrapText="1"/>
    </xf>
    <xf numFmtId="0" fontId="38" fillId="0" borderId="0" xfId="709" applyFont="1" applyAlignment="1">
      <alignment horizontal="left" vertical="top" wrapText="1"/>
    </xf>
    <xf numFmtId="0" fontId="48" fillId="0" borderId="0" xfId="709" applyFont="1" applyAlignment="1">
      <alignment horizontal="left" vertical="top" wrapText="1"/>
    </xf>
    <xf numFmtId="0" fontId="13" fillId="3" borderId="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4" fontId="40" fillId="0" borderId="68" xfId="709" applyNumberFormat="1" applyFont="1" applyBorder="1" applyAlignment="1">
      <alignment horizontal="center" vertical="center" wrapText="1"/>
    </xf>
    <xf numFmtId="4" fontId="40" fillId="0" borderId="46" xfId="709" applyNumberFormat="1" applyFont="1" applyBorder="1" applyAlignment="1">
      <alignment horizontal="center" vertical="center" wrapText="1"/>
    </xf>
    <xf numFmtId="2" fontId="40" fillId="0" borderId="68" xfId="709" applyNumberFormat="1" applyFont="1" applyBorder="1" applyAlignment="1">
      <alignment horizontal="center" vertical="center" wrapText="1"/>
    </xf>
    <xf numFmtId="2" fontId="40" fillId="0" borderId="46" xfId="709" applyNumberFormat="1" applyFont="1" applyBorder="1" applyAlignment="1">
      <alignment horizontal="center" vertical="center" wrapText="1"/>
    </xf>
    <xf numFmtId="4" fontId="40" fillId="0" borderId="43" xfId="709" applyNumberFormat="1" applyFont="1" applyBorder="1" applyAlignment="1">
      <alignment horizontal="center" vertical="center" wrapText="1"/>
    </xf>
    <xf numFmtId="2" fontId="40" fillId="0" borderId="43" xfId="709" applyNumberFormat="1" applyFont="1" applyBorder="1" applyAlignment="1">
      <alignment horizontal="center" vertical="center" wrapText="1"/>
    </xf>
    <xf numFmtId="0" fontId="38" fillId="4" borderId="51" xfId="709" applyFont="1" applyFill="1" applyBorder="1" applyAlignment="1">
      <alignment horizontal="center"/>
    </xf>
    <xf numFmtId="0" fontId="38" fillId="4" borderId="52" xfId="709" applyFont="1" applyFill="1" applyBorder="1" applyAlignment="1">
      <alignment horizontal="center"/>
    </xf>
    <xf numFmtId="0" fontId="38" fillId="4" borderId="53" xfId="709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 wrapText="1" shrinkToFit="1"/>
    </xf>
    <xf numFmtId="0" fontId="14" fillId="4" borderId="36" xfId="0" applyFont="1" applyFill="1" applyBorder="1" applyAlignment="1">
      <alignment horizontal="left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Border="1" applyAlignment="1">
      <alignment horizontal="left" vertical="center" wrapText="1" shrinkToFit="1"/>
    </xf>
    <xf numFmtId="0" fontId="66" fillId="4" borderId="19" xfId="709" applyFont="1" applyFill="1" applyBorder="1" applyAlignment="1">
      <alignment horizontal="center" wrapText="1"/>
    </xf>
    <xf numFmtId="0" fontId="66" fillId="4" borderId="0" xfId="709" applyFont="1" applyFill="1" applyBorder="1" applyAlignment="1">
      <alignment horizontal="center" wrapText="1"/>
    </xf>
    <xf numFmtId="0" fontId="66" fillId="4" borderId="20" xfId="709" applyFont="1" applyFill="1" applyBorder="1" applyAlignment="1">
      <alignment horizontal="center" wrapText="1"/>
    </xf>
    <xf numFmtId="0" fontId="66" fillId="4" borderId="21" xfId="709" applyFont="1" applyFill="1" applyBorder="1" applyAlignment="1">
      <alignment horizontal="center" wrapText="1"/>
    </xf>
    <xf numFmtId="0" fontId="66" fillId="4" borderId="24" xfId="709" applyFont="1" applyFill="1" applyBorder="1" applyAlignment="1">
      <alignment horizontal="center" wrapText="1"/>
    </xf>
    <xf numFmtId="0" fontId="66" fillId="4" borderId="22" xfId="709" applyFont="1" applyFill="1" applyBorder="1" applyAlignment="1">
      <alignment horizontal="center" wrapText="1"/>
    </xf>
    <xf numFmtId="0" fontId="13" fillId="4" borderId="16" xfId="0" applyFont="1" applyFill="1" applyBorder="1" applyAlignment="1">
      <alignment horizontal="left" vertical="center" wrapText="1" shrinkToFit="1"/>
    </xf>
    <xf numFmtId="0" fontId="13" fillId="4" borderId="23" xfId="0" applyFont="1" applyFill="1" applyBorder="1" applyAlignment="1">
      <alignment horizontal="left" vertical="center" wrapText="1" shrinkToFit="1"/>
    </xf>
    <xf numFmtId="0" fontId="13" fillId="4" borderId="17" xfId="0" applyFont="1" applyFill="1" applyBorder="1" applyAlignment="1">
      <alignment horizontal="left" vertical="center" wrapText="1" shrinkToFit="1"/>
    </xf>
    <xf numFmtId="0" fontId="13" fillId="4" borderId="19" xfId="0" applyFont="1" applyFill="1" applyBorder="1" applyAlignment="1">
      <alignment horizontal="left" vertical="center" wrapText="1" shrinkToFit="1"/>
    </xf>
    <xf numFmtId="0" fontId="13" fillId="4" borderId="0" xfId="0" applyFont="1" applyFill="1" applyBorder="1" applyAlignment="1">
      <alignment horizontal="left" vertical="center" wrapText="1" shrinkToFit="1"/>
    </xf>
    <xf numFmtId="0" fontId="13" fillId="4" borderId="20" xfId="0" applyFont="1" applyFill="1" applyBorder="1" applyAlignment="1">
      <alignment horizontal="left" vertical="center" wrapText="1" shrinkToFit="1"/>
    </xf>
    <xf numFmtId="0" fontId="43" fillId="0" borderId="23" xfId="709" applyFont="1" applyBorder="1" applyAlignment="1">
      <alignment horizontal="center"/>
    </xf>
    <xf numFmtId="0" fontId="14" fillId="4" borderId="19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14" fillId="4" borderId="16" xfId="0" applyFont="1" applyFill="1" applyBorder="1" applyAlignment="1">
      <alignment horizontal="center" vertical="center" wrapText="1" shrinkToFit="1"/>
    </xf>
    <xf numFmtId="0" fontId="14" fillId="4" borderId="23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>
      <alignment horizontal="center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54" fillId="4" borderId="13" xfId="709" applyFont="1" applyFill="1" applyBorder="1" applyAlignment="1">
      <alignment horizontal="center" vertical="center" wrapText="1"/>
    </xf>
    <xf numFmtId="0" fontId="54" fillId="4" borderId="15" xfId="709" applyFont="1" applyFill="1" applyBorder="1" applyAlignment="1">
      <alignment horizontal="center" vertical="center" wrapText="1"/>
    </xf>
    <xf numFmtId="4" fontId="38" fillId="0" borderId="44" xfId="709" applyNumberFormat="1" applyFont="1" applyBorder="1" applyAlignment="1">
      <alignment horizontal="center" vertical="center" wrapText="1"/>
    </xf>
    <xf numFmtId="4" fontId="38" fillId="0" borderId="27" xfId="709" applyNumberFormat="1" applyFont="1" applyBorder="1" applyAlignment="1">
      <alignment horizontal="center" vertical="center" wrapText="1"/>
    </xf>
    <xf numFmtId="4" fontId="38" fillId="0" borderId="56" xfId="709" applyNumberFormat="1" applyFont="1" applyBorder="1" applyAlignment="1">
      <alignment horizontal="center" vertical="center" wrapText="1"/>
    </xf>
    <xf numFmtId="4" fontId="38" fillId="0" borderId="36" xfId="709" applyNumberFormat="1" applyFont="1" applyBorder="1" applyAlignment="1">
      <alignment horizontal="center" vertical="center" wrapText="1"/>
    </xf>
    <xf numFmtId="0" fontId="67" fillId="4" borderId="21" xfId="709" applyFont="1" applyFill="1" applyBorder="1" applyAlignment="1">
      <alignment horizontal="center" vertical="center" wrapText="1"/>
    </xf>
    <xf numFmtId="0" fontId="67" fillId="4" borderId="24" xfId="709" applyFont="1" applyFill="1" applyBorder="1" applyAlignment="1">
      <alignment horizontal="center" vertical="center" wrapText="1"/>
    </xf>
    <xf numFmtId="0" fontId="67" fillId="4" borderId="22" xfId="709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48" fillId="0" borderId="0" xfId="709" applyFont="1" applyAlignment="1">
      <alignment horizontal="center"/>
    </xf>
    <xf numFmtId="0" fontId="13" fillId="4" borderId="21" xfId="0" applyFont="1" applyFill="1" applyBorder="1" applyAlignment="1">
      <alignment horizontal="left" vertical="center" wrapText="1" shrinkToFit="1"/>
    </xf>
    <xf numFmtId="0" fontId="13" fillId="4" borderId="24" xfId="0" applyFont="1" applyFill="1" applyBorder="1" applyAlignment="1">
      <alignment horizontal="left" vertical="center" wrapText="1" shrinkToFit="1"/>
    </xf>
    <xf numFmtId="0" fontId="13" fillId="4" borderId="22" xfId="0" applyFont="1" applyFill="1" applyBorder="1" applyAlignment="1">
      <alignment horizontal="left" vertical="center" wrapText="1" shrinkToFit="1"/>
    </xf>
    <xf numFmtId="0" fontId="14" fillId="4" borderId="51" xfId="0" applyFont="1" applyFill="1" applyBorder="1" applyAlignment="1">
      <alignment horizontal="center" vertical="center" wrapText="1" shrinkToFit="1"/>
    </xf>
    <xf numFmtId="0" fontId="14" fillId="4" borderId="52" xfId="0" applyFont="1" applyFill="1" applyBorder="1" applyAlignment="1">
      <alignment horizontal="center" vertical="center" wrapText="1" shrinkToFit="1"/>
    </xf>
    <xf numFmtId="0" fontId="14" fillId="4" borderId="53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4" xfId="0" applyFont="1" applyFill="1" applyBorder="1" applyAlignment="1">
      <alignment horizontal="left" vertical="center" wrapText="1" shrinkToFi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63" fillId="4" borderId="21" xfId="0" applyFont="1" applyFill="1" applyBorder="1" applyAlignment="1">
      <alignment horizontal="center" wrapText="1"/>
    </xf>
    <xf numFmtId="0" fontId="63" fillId="4" borderId="24" xfId="0" applyFont="1" applyFill="1" applyBorder="1" applyAlignment="1">
      <alignment horizontal="center" wrapText="1"/>
    </xf>
    <xf numFmtId="0" fontId="63" fillId="4" borderId="2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40" fillId="4" borderId="51" xfId="709" applyFont="1" applyFill="1" applyBorder="1" applyAlignment="1">
      <alignment horizontal="center"/>
    </xf>
    <xf numFmtId="0" fontId="40" fillId="4" borderId="52" xfId="709" applyFont="1" applyFill="1" applyBorder="1" applyAlignment="1">
      <alignment horizontal="center"/>
    </xf>
    <xf numFmtId="0" fontId="40" fillId="4" borderId="53" xfId="709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40" fillId="4" borderId="34" xfId="0" applyFont="1" applyFill="1" applyBorder="1" applyAlignment="1">
      <alignment horizontal="left" vertical="center" wrapText="1" shrinkToFit="1"/>
    </xf>
    <xf numFmtId="0" fontId="40" fillId="4" borderId="2" xfId="0" applyFont="1" applyFill="1" applyBorder="1" applyAlignment="1">
      <alignment horizontal="left" vertical="center" wrapText="1" shrinkToFit="1"/>
    </xf>
    <xf numFmtId="0" fontId="40" fillId="4" borderId="44" xfId="709" applyFont="1" applyFill="1" applyBorder="1" applyAlignment="1">
      <alignment horizontal="left"/>
    </xf>
    <xf numFmtId="0" fontId="40" fillId="4" borderId="47" xfId="709" applyFont="1" applyFill="1" applyBorder="1" applyAlignment="1">
      <alignment horizontal="left"/>
    </xf>
    <xf numFmtId="0" fontId="40" fillId="4" borderId="44" xfId="0" applyFont="1" applyFill="1" applyBorder="1" applyAlignment="1">
      <alignment horizontal="left" vertical="center" wrapText="1" shrinkToFit="1"/>
    </xf>
    <xf numFmtId="0" fontId="40" fillId="4" borderId="47" xfId="0" applyFont="1" applyFill="1" applyBorder="1" applyAlignment="1">
      <alignment horizontal="left" vertical="center" wrapText="1" shrinkToFit="1"/>
    </xf>
    <xf numFmtId="0" fontId="40" fillId="4" borderId="56" xfId="709" applyFont="1" applyFill="1" applyBorder="1" applyAlignment="1">
      <alignment horizontal="left"/>
    </xf>
    <xf numFmtId="0" fontId="40" fillId="4" borderId="48" xfId="709" applyFont="1" applyFill="1" applyBorder="1" applyAlignment="1">
      <alignment horizontal="left"/>
    </xf>
    <xf numFmtId="0" fontId="40" fillId="4" borderId="21" xfId="0" applyFont="1" applyFill="1" applyBorder="1" applyAlignment="1">
      <alignment horizontal="center" vertical="center" wrapText="1" shrinkToFit="1"/>
    </xf>
    <xf numFmtId="0" fontId="40" fillId="4" borderId="24" xfId="0" applyFont="1" applyFill="1" applyBorder="1" applyAlignment="1">
      <alignment horizontal="center" vertical="center" wrapText="1" shrinkToFit="1"/>
    </xf>
    <xf numFmtId="0" fontId="42" fillId="4" borderId="23" xfId="709" applyFont="1" applyFill="1" applyBorder="1" applyAlignment="1">
      <alignment horizontal="center" vertical="top"/>
    </xf>
    <xf numFmtId="0" fontId="42" fillId="4" borderId="16" xfId="709" applyFont="1" applyFill="1" applyBorder="1" applyAlignment="1">
      <alignment horizontal="center" vertical="top"/>
    </xf>
    <xf numFmtId="0" fontId="42" fillId="4" borderId="17" xfId="709" applyFont="1" applyFill="1" applyBorder="1" applyAlignment="1">
      <alignment horizontal="center" vertical="top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42" fillId="4" borderId="42" xfId="709" applyFont="1" applyFill="1" applyBorder="1" applyAlignment="1">
      <alignment horizontal="center" vertical="center"/>
    </xf>
    <xf numFmtId="0" fontId="42" fillId="4" borderId="46" xfId="709" applyFont="1" applyFill="1" applyBorder="1" applyAlignment="1">
      <alignment horizontal="center" vertical="center"/>
    </xf>
    <xf numFmtId="0" fontId="36" fillId="3" borderId="0" xfId="709" applyFont="1" applyFill="1" applyBorder="1" applyAlignment="1">
      <alignment horizontal="center"/>
    </xf>
    <xf numFmtId="0" fontId="41" fillId="4" borderId="19" xfId="0" applyFont="1" applyFill="1" applyBorder="1" applyAlignment="1">
      <alignment horizontal="center" wrapText="1"/>
    </xf>
    <xf numFmtId="0" fontId="41" fillId="4" borderId="0" xfId="0" applyFont="1" applyFill="1" applyBorder="1" applyAlignment="1">
      <alignment horizontal="center" wrapText="1"/>
    </xf>
    <xf numFmtId="0" fontId="41" fillId="4" borderId="20" xfId="0" applyFont="1" applyFill="1" applyBorder="1" applyAlignment="1">
      <alignment horizontal="center" wrapText="1"/>
    </xf>
    <xf numFmtId="0" fontId="41" fillId="4" borderId="16" xfId="0" applyFont="1" applyFill="1" applyBorder="1" applyAlignment="1">
      <alignment horizontal="center"/>
    </xf>
    <xf numFmtId="0" fontId="41" fillId="4" borderId="23" xfId="0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/>
    </xf>
    <xf numFmtId="0" fontId="41" fillId="4" borderId="19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/>
    </xf>
    <xf numFmtId="0" fontId="41" fillId="4" borderId="2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44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87" fillId="3" borderId="23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0" fontId="53" fillId="3" borderId="0" xfId="0" applyFont="1" applyFill="1" applyBorder="1" applyAlignment="1">
      <alignment horizontal="left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 vertical="center"/>
    </xf>
    <xf numFmtId="0" fontId="14" fillId="3" borderId="48" xfId="0" applyFont="1" applyFill="1" applyBorder="1" applyAlignment="1">
      <alignment horizontal="left" vertical="center"/>
    </xf>
    <xf numFmtId="0" fontId="14" fillId="3" borderId="36" xfId="0" applyFont="1" applyFill="1" applyBorder="1" applyAlignment="1">
      <alignment horizontal="left" vertical="center"/>
    </xf>
    <xf numFmtId="0" fontId="23" fillId="4" borderId="51" xfId="0" applyFont="1" applyFill="1" applyBorder="1" applyAlignment="1">
      <alignment horizontal="center" vertical="center"/>
    </xf>
    <xf numFmtId="0" fontId="23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12" fillId="3" borderId="23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4" fillId="0" borderId="0" xfId="0" applyNumberFormat="1" applyFont="1" applyBorder="1" applyAlignment="1">
      <alignment horizontal="center"/>
    </xf>
    <xf numFmtId="43" fontId="14" fillId="0" borderId="13" xfId="80" applyFont="1" applyBorder="1" applyAlignment="1">
      <alignment horizontal="center" vertical="center"/>
    </xf>
    <xf numFmtId="43" fontId="14" fillId="0" borderId="15" xfId="80" applyFont="1" applyBorder="1" applyAlignment="1">
      <alignment horizontal="center" vertical="center"/>
    </xf>
    <xf numFmtId="43" fontId="14" fillId="0" borderId="56" xfId="80" applyFont="1" applyBorder="1" applyAlignment="1">
      <alignment horizontal="center" vertical="center"/>
    </xf>
    <xf numFmtId="43" fontId="14" fillId="0" borderId="36" xfId="80" applyFont="1" applyBorder="1" applyAlignment="1">
      <alignment horizontal="center" vertical="center"/>
    </xf>
    <xf numFmtId="43" fontId="14" fillId="0" borderId="51" xfId="80" applyFont="1" applyBorder="1" applyAlignment="1">
      <alignment horizontal="center" vertical="center"/>
    </xf>
    <xf numFmtId="43" fontId="14" fillId="0" borderId="53" xfId="8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43" fontId="14" fillId="0" borderId="41" xfId="80" applyFont="1" applyBorder="1" applyAlignment="1">
      <alignment horizontal="center" vertical="center"/>
    </xf>
    <xf numFmtId="43" fontId="14" fillId="3" borderId="2" xfId="80" applyFont="1" applyFill="1" applyBorder="1" applyAlignment="1">
      <alignment horizontal="center" vertical="center"/>
    </xf>
    <xf numFmtId="43" fontId="14" fillId="0" borderId="44" xfId="80" applyFont="1" applyBorder="1" applyAlignment="1">
      <alignment horizontal="center" vertical="center"/>
    </xf>
    <xf numFmtId="43" fontId="14" fillId="0" borderId="27" xfId="80" applyFont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43" fontId="14" fillId="0" borderId="47" xfId="80" applyFont="1" applyBorder="1" applyAlignment="1">
      <alignment horizontal="center" vertical="center"/>
    </xf>
    <xf numFmtId="0" fontId="33" fillId="6" borderId="51" xfId="0" applyFont="1" applyFill="1" applyBorder="1" applyAlignment="1">
      <alignment horizontal="left" vertical="center" wrapText="1"/>
    </xf>
    <xf numFmtId="0" fontId="33" fillId="6" borderId="52" xfId="0" applyFont="1" applyFill="1" applyBorder="1" applyAlignment="1">
      <alignment horizontal="left" vertical="center" wrapText="1"/>
    </xf>
    <xf numFmtId="0" fontId="33" fillId="6" borderId="69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7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2" fontId="12" fillId="3" borderId="60" xfId="0" applyNumberFormat="1" applyFont="1" applyFill="1" applyBorder="1" applyAlignment="1">
      <alignment horizontal="center" vertical="center" wrapText="1"/>
    </xf>
    <xf numFmtId="2" fontId="12" fillId="3" borderId="55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/>
    </xf>
    <xf numFmtId="0" fontId="14" fillId="4" borderId="42" xfId="0" applyFont="1" applyFill="1" applyBorder="1" applyAlignment="1">
      <alignment horizontal="center" vertical="center"/>
    </xf>
    <xf numFmtId="4" fontId="18" fillId="3" borderId="14" xfId="0" applyNumberFormat="1" applyFont="1" applyFill="1" applyBorder="1" applyAlignment="1">
      <alignment horizontal="center"/>
    </xf>
    <xf numFmtId="4" fontId="18" fillId="3" borderId="15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4" fontId="18" fillId="3" borderId="2" xfId="0" applyNumberFormat="1" applyFont="1" applyFill="1" applyBorder="1" applyAlignment="1">
      <alignment horizontal="center"/>
    </xf>
    <xf numFmtId="4" fontId="18" fillId="3" borderId="45" xfId="0" applyNumberFormat="1" applyFont="1" applyFill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44" xfId="0" applyNumberFormat="1" applyFont="1" applyBorder="1" applyAlignment="1">
      <alignment horizontal="center"/>
    </xf>
    <xf numFmtId="3" fontId="18" fillId="0" borderId="47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4" fontId="18" fillId="3" borderId="24" xfId="0" applyNumberFormat="1" applyFont="1" applyFill="1" applyBorder="1" applyAlignment="1">
      <alignment horizontal="center"/>
    </xf>
    <xf numFmtId="4" fontId="18" fillId="3" borderId="22" xfId="0" applyNumberFormat="1" applyFont="1" applyFill="1" applyBorder="1" applyAlignment="1">
      <alignment horizontal="center"/>
    </xf>
    <xf numFmtId="3" fontId="18" fillId="0" borderId="56" xfId="0" applyNumberFormat="1" applyFont="1" applyBorder="1" applyAlignment="1">
      <alignment horizontal="center"/>
    </xf>
    <xf numFmtId="3" fontId="18" fillId="0" borderId="48" xfId="0" applyNumberFormat="1" applyFont="1" applyBorder="1" applyAlignment="1">
      <alignment horizontal="center"/>
    </xf>
    <xf numFmtId="3" fontId="18" fillId="0" borderId="36" xfId="0" applyNumberFormat="1" applyFont="1" applyBorder="1" applyAlignment="1">
      <alignment horizontal="center"/>
    </xf>
    <xf numFmtId="0" fontId="26" fillId="4" borderId="51" xfId="0" applyFont="1" applyFill="1" applyBorder="1" applyAlignment="1">
      <alignment horizontal="center"/>
    </xf>
    <xf numFmtId="0" fontId="26" fillId="4" borderId="52" xfId="0" applyFont="1" applyFill="1" applyBorder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14" fillId="3" borderId="44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14" fontId="18" fillId="3" borderId="44" xfId="0" applyNumberFormat="1" applyFont="1" applyFill="1" applyBorder="1" applyAlignment="1">
      <alignment horizontal="center"/>
    </xf>
    <xf numFmtId="14" fontId="18" fillId="3" borderId="47" xfId="0" applyNumberFormat="1" applyFont="1" applyFill="1" applyBorder="1" applyAlignment="1">
      <alignment horizontal="center"/>
    </xf>
    <xf numFmtId="14" fontId="18" fillId="3" borderId="27" xfId="0" applyNumberFormat="1" applyFont="1" applyFill="1" applyBorder="1" applyAlignment="1">
      <alignment horizontal="center"/>
    </xf>
    <xf numFmtId="14" fontId="18" fillId="3" borderId="28" xfId="0" applyNumberFormat="1" applyFont="1" applyFill="1" applyBorder="1" applyAlignment="1">
      <alignment horizontal="center"/>
    </xf>
    <xf numFmtId="14" fontId="18" fillId="3" borderId="29" xfId="0" applyNumberFormat="1" applyFont="1" applyFill="1" applyBorder="1" applyAlignment="1">
      <alignment horizontal="center"/>
    </xf>
    <xf numFmtId="14" fontId="18" fillId="3" borderId="30" xfId="0" applyNumberFormat="1" applyFont="1" applyFill="1" applyBorder="1" applyAlignment="1">
      <alignment horizontal="center"/>
    </xf>
    <xf numFmtId="14" fontId="18" fillId="3" borderId="21" xfId="0" applyNumberFormat="1" applyFont="1" applyFill="1" applyBorder="1" applyAlignment="1">
      <alignment horizontal="center"/>
    </xf>
    <xf numFmtId="14" fontId="18" fillId="3" borderId="24" xfId="0" applyNumberFormat="1" applyFont="1" applyFill="1" applyBorder="1" applyAlignment="1">
      <alignment horizontal="center"/>
    </xf>
    <xf numFmtId="14" fontId="18" fillId="3" borderId="22" xfId="0" applyNumberFormat="1" applyFont="1" applyFill="1" applyBorder="1" applyAlignment="1">
      <alignment horizontal="center"/>
    </xf>
    <xf numFmtId="165" fontId="18" fillId="3" borderId="21" xfId="0" applyNumberFormat="1" applyFont="1" applyFill="1" applyBorder="1" applyAlignment="1">
      <alignment horizontal="center"/>
    </xf>
    <xf numFmtId="165" fontId="18" fillId="3" borderId="24" xfId="0" applyNumberFormat="1" applyFont="1" applyFill="1" applyBorder="1" applyAlignment="1">
      <alignment horizontal="center"/>
    </xf>
    <xf numFmtId="165" fontId="18" fillId="3" borderId="22" xfId="0" applyNumberFormat="1" applyFont="1" applyFill="1" applyBorder="1" applyAlignment="1">
      <alignment horizontal="center"/>
    </xf>
    <xf numFmtId="165" fontId="18" fillId="3" borderId="44" xfId="0" applyNumberFormat="1" applyFont="1" applyFill="1" applyBorder="1" applyAlignment="1">
      <alignment horizontal="center"/>
    </xf>
    <xf numFmtId="165" fontId="18" fillId="3" borderId="47" xfId="0" applyNumberFormat="1" applyFont="1" applyFill="1" applyBorder="1" applyAlignment="1">
      <alignment horizontal="center"/>
    </xf>
    <xf numFmtId="165" fontId="18" fillId="3" borderId="27" xfId="0" applyNumberFormat="1" applyFont="1" applyFill="1" applyBorder="1" applyAlignment="1">
      <alignment horizontal="center"/>
    </xf>
    <xf numFmtId="14" fontId="28" fillId="10" borderId="44" xfId="0" applyNumberFormat="1" applyFont="1" applyFill="1" applyBorder="1" applyAlignment="1">
      <alignment horizontal="center"/>
    </xf>
    <xf numFmtId="14" fontId="28" fillId="10" borderId="47" xfId="0" applyNumberFormat="1" applyFont="1" applyFill="1" applyBorder="1" applyAlignment="1">
      <alignment horizontal="center"/>
    </xf>
    <xf numFmtId="14" fontId="28" fillId="10" borderId="27" xfId="0" applyNumberFormat="1" applyFont="1" applyFill="1" applyBorder="1" applyAlignment="1">
      <alignment horizontal="center"/>
    </xf>
    <xf numFmtId="0" fontId="19" fillId="4" borderId="51" xfId="0" applyFont="1" applyFill="1" applyBorder="1" applyAlignment="1">
      <alignment horizontal="center"/>
    </xf>
    <xf numFmtId="0" fontId="19" fillId="4" borderId="52" xfId="0" applyFont="1" applyFill="1" applyBorder="1" applyAlignment="1">
      <alignment horizontal="center"/>
    </xf>
    <xf numFmtId="0" fontId="19" fillId="4" borderId="53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 wrapText="1"/>
    </xf>
    <xf numFmtId="0" fontId="20" fillId="3" borderId="0" xfId="0" applyFont="1" applyFill="1" applyBorder="1" applyAlignment="1">
      <alignment horizontal="center" wrapText="1"/>
    </xf>
    <xf numFmtId="14" fontId="12" fillId="0" borderId="9" xfId="0" applyNumberFormat="1" applyFont="1" applyBorder="1" applyAlignment="1">
      <alignment horizontal="center"/>
    </xf>
    <xf numFmtId="0" fontId="12" fillId="0" borderId="22" xfId="0" applyFont="1" applyBorder="1"/>
    <xf numFmtId="0" fontId="63" fillId="0" borderId="0" xfId="0" applyFont="1" applyAlignment="1">
      <alignment horizontal="left" wrapText="1"/>
    </xf>
    <xf numFmtId="0" fontId="63" fillId="0" borderId="0" xfId="0" applyFont="1" applyAlignment="1">
      <alignment vertical="justify" wrapText="1"/>
    </xf>
    <xf numFmtId="4" fontId="16" fillId="0" borderId="4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9" fillId="0" borderId="0" xfId="0" applyFont="1" applyFill="1" applyBorder="1" applyAlignment="1"/>
    <xf numFmtId="0" fontId="26" fillId="0" borderId="0" xfId="0" applyFont="1" applyFill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</cellXfs>
  <cellStyles count="1434">
    <cellStyle name="1000-sep (2 dec) 2" xfId="773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Besøgt link" xfId="1423" builtinId="9" hidden="1"/>
    <cellStyle name="Besøgt link" xfId="1425" builtinId="9" hidden="1"/>
    <cellStyle name="Besøgt link" xfId="1427" builtinId="9" hidden="1"/>
    <cellStyle name="Besøgt link" xfId="1429" builtinId="9" hidden="1"/>
    <cellStyle name="Besøgt link" xfId="1431" builtinId="9" hidden="1"/>
    <cellStyle name="Besøgt link" xfId="143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Komma" xfId="80" builtinId="3"/>
    <cellStyle name="komma0" xfId="35"/>
    <cellStyle name="komma0 2" xfId="772"/>
    <cellStyle name="Normal" xfId="0" builtinId="0"/>
    <cellStyle name="Normal 2" xfId="709"/>
    <cellStyle name="Procent 2" xfId="774"/>
    <cellStyle name="Valuta 2" xfId="7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127418</xdr:colOff>
      <xdr:row>20</xdr:row>
      <xdr:rowOff>127001</xdr:rowOff>
    </xdr:from>
    <xdr:to>
      <xdr:col>4</xdr:col>
      <xdr:colOff>1330325</xdr:colOff>
      <xdr:row>21</xdr:row>
      <xdr:rowOff>83694</xdr:rowOff>
    </xdr:to>
    <xdr:pic>
      <xdr:nvPicPr>
        <xdr:cNvPr id="3" name="Billed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518" y="7518401"/>
          <a:ext cx="1231482" cy="147193"/>
        </a:xfrm>
        <a:prstGeom prst="rect">
          <a:avLst/>
        </a:prstGeom>
      </xdr:spPr>
    </xdr:pic>
    <xdr:clientData/>
  </xdr:twoCellAnchor>
  <xdr:twoCellAnchor editAs="oneCell">
    <xdr:from>
      <xdr:col>4</xdr:col>
      <xdr:colOff>346075</xdr:colOff>
      <xdr:row>15</xdr:row>
      <xdr:rowOff>38103</xdr:rowOff>
    </xdr:from>
    <xdr:to>
      <xdr:col>4</xdr:col>
      <xdr:colOff>1057275</xdr:colOff>
      <xdr:row>16</xdr:row>
      <xdr:rowOff>980</xdr:rowOff>
    </xdr:to>
    <xdr:pic>
      <xdr:nvPicPr>
        <xdr:cNvPr id="7" name="Billed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3175" y="60579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14</xdr:row>
      <xdr:rowOff>164211</xdr:rowOff>
    </xdr:from>
    <xdr:to>
      <xdr:col>4</xdr:col>
      <xdr:colOff>1242095</xdr:colOff>
      <xdr:row>14</xdr:row>
      <xdr:rowOff>444500</xdr:rowOff>
    </xdr:to>
    <xdr:pic>
      <xdr:nvPicPr>
        <xdr:cNvPr id="9" name="Billede 8" descr="logo 4 farvet jpg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5599811"/>
          <a:ext cx="1051595" cy="280289"/>
        </a:xfrm>
        <a:prstGeom prst="rect">
          <a:avLst/>
        </a:prstGeom>
      </xdr:spPr>
    </xdr:pic>
    <xdr:clientData/>
  </xdr:twoCellAnchor>
  <xdr:twoCellAnchor editAs="oneCell">
    <xdr:from>
      <xdr:col>4</xdr:col>
      <xdr:colOff>368300</xdr:colOff>
      <xdr:row>16</xdr:row>
      <xdr:rowOff>25400</xdr:rowOff>
    </xdr:from>
    <xdr:to>
      <xdr:col>4</xdr:col>
      <xdr:colOff>990599</xdr:colOff>
      <xdr:row>18</xdr:row>
      <xdr:rowOff>210021</xdr:rowOff>
    </xdr:to>
    <xdr:pic>
      <xdr:nvPicPr>
        <xdr:cNvPr id="10" name="Billed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5400" y="6629400"/>
          <a:ext cx="622299" cy="552921"/>
        </a:xfrm>
        <a:prstGeom prst="rect">
          <a:avLst/>
        </a:prstGeom>
      </xdr:spPr>
    </xdr:pic>
    <xdr:clientData/>
  </xdr:twoCellAnchor>
  <xdr:twoCellAnchor editAs="oneCell">
    <xdr:from>
      <xdr:col>5</xdr:col>
      <xdr:colOff>50800</xdr:colOff>
      <xdr:row>14</xdr:row>
      <xdr:rowOff>266700</xdr:rowOff>
    </xdr:from>
    <xdr:to>
      <xdr:col>8</xdr:col>
      <xdr:colOff>492644</xdr:colOff>
      <xdr:row>14</xdr:row>
      <xdr:rowOff>546100</xdr:rowOff>
    </xdr:to>
    <xdr:pic>
      <xdr:nvPicPr>
        <xdr:cNvPr id="11" name="Billede 10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1900" y="5867400"/>
          <a:ext cx="2283344" cy="279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1"/>
  <sheetViews>
    <sheetView tabSelected="1" workbookViewId="0">
      <selection sqref="A1:I1"/>
    </sheetView>
  </sheetViews>
  <sheetFormatPr baseColWidth="10" defaultColWidth="8.83203125" defaultRowHeight="15" x14ac:dyDescent="0.2"/>
  <cols>
    <col min="1" max="1" width="29.1640625" style="36" customWidth="1"/>
    <col min="2" max="2" width="16.33203125" customWidth="1"/>
    <col min="3" max="3" width="24.33203125" hidden="1" customWidth="1"/>
    <col min="4" max="4" width="9.6640625" hidden="1" customWidth="1"/>
    <col min="5" max="5" width="20" bestFit="1" customWidth="1"/>
    <col min="6" max="6" width="4.6640625" customWidth="1"/>
    <col min="7" max="7" width="8.83203125" customWidth="1"/>
    <col min="8" max="8" width="10.6640625" customWidth="1"/>
    <col min="9" max="9" width="6.5" customWidth="1"/>
  </cols>
  <sheetData>
    <row r="1" spans="1:21" ht="63" customHeight="1" x14ac:dyDescent="0.3">
      <c r="A1" s="983"/>
      <c r="B1" s="983"/>
      <c r="C1" s="983"/>
      <c r="D1" s="983"/>
      <c r="E1" s="983"/>
      <c r="F1" s="983"/>
      <c r="G1" s="983"/>
      <c r="H1" s="983"/>
      <c r="I1" s="983"/>
    </row>
    <row r="2" spans="1:21" ht="30" customHeight="1" x14ac:dyDescent="0.2">
      <c r="A2" s="976"/>
      <c r="B2" s="976"/>
      <c r="C2" s="976"/>
      <c r="D2" s="976"/>
      <c r="E2" s="976"/>
      <c r="F2" s="976"/>
      <c r="G2" s="976"/>
      <c r="H2" s="976"/>
      <c r="I2" s="976"/>
    </row>
    <row r="3" spans="1:21" ht="37" customHeight="1" x14ac:dyDescent="0.3">
      <c r="A3" s="983" t="s">
        <v>84</v>
      </c>
      <c r="B3" s="983"/>
      <c r="C3" s="983"/>
      <c r="D3" s="983"/>
      <c r="E3" s="983"/>
      <c r="F3" s="983"/>
      <c r="G3" s="983"/>
      <c r="H3" s="983"/>
      <c r="I3" s="983"/>
      <c r="M3" s="981"/>
      <c r="N3" s="982"/>
      <c r="O3" s="982"/>
      <c r="P3" s="982"/>
      <c r="Q3" s="982"/>
      <c r="R3" s="982"/>
      <c r="S3" s="982"/>
      <c r="T3" s="982"/>
      <c r="U3" s="982"/>
    </row>
    <row r="4" spans="1:21" ht="26" customHeight="1" x14ac:dyDescent="0.3">
      <c r="A4" s="983" t="s">
        <v>497</v>
      </c>
      <c r="B4" s="983"/>
      <c r="C4" s="983"/>
      <c r="D4" s="983"/>
      <c r="E4" s="983"/>
      <c r="F4" s="983"/>
      <c r="G4" s="983"/>
      <c r="H4" s="983"/>
      <c r="I4" s="983"/>
    </row>
    <row r="5" spans="1:21" s="33" customFormat="1" ht="14" customHeight="1" x14ac:dyDescent="0.15">
      <c r="A5" s="976"/>
      <c r="B5" s="976"/>
      <c r="C5" s="976"/>
      <c r="D5" s="976"/>
      <c r="E5" s="976"/>
      <c r="F5" s="976"/>
      <c r="G5" s="976"/>
      <c r="H5" s="976"/>
      <c r="I5" s="976"/>
    </row>
    <row r="6" spans="1:21" s="33" customFormat="1" ht="21" customHeight="1" x14ac:dyDescent="0.2">
      <c r="A6" s="967" t="s">
        <v>503</v>
      </c>
      <c r="B6" s="967"/>
      <c r="C6" s="967"/>
      <c r="D6" s="967"/>
      <c r="E6" s="967"/>
      <c r="F6" s="967"/>
      <c r="G6" s="967"/>
      <c r="H6" s="967"/>
      <c r="I6" s="967"/>
    </row>
    <row r="7" spans="1:21" s="33" customFormat="1" ht="36.75" customHeight="1" x14ac:dyDescent="0.2">
      <c r="A7" s="967" t="s">
        <v>504</v>
      </c>
      <c r="B7" s="967"/>
      <c r="C7" s="967"/>
      <c r="D7" s="967"/>
      <c r="E7" s="967"/>
      <c r="F7" s="967"/>
      <c r="G7" s="967"/>
      <c r="H7" s="967"/>
      <c r="I7" s="967"/>
    </row>
    <row r="8" spans="1:21" ht="18" customHeight="1" x14ac:dyDescent="0.2">
      <c r="A8" s="968" t="s">
        <v>515</v>
      </c>
      <c r="B8" s="968"/>
      <c r="C8" s="968"/>
      <c r="D8" s="968"/>
      <c r="E8" s="968"/>
      <c r="F8" s="968"/>
      <c r="G8" s="968"/>
      <c r="H8" s="968"/>
      <c r="I8" s="968"/>
    </row>
    <row r="9" spans="1:21" ht="18" customHeight="1" x14ac:dyDescent="0.2">
      <c r="A9" s="968"/>
      <c r="B9" s="968"/>
      <c r="C9" s="968"/>
      <c r="D9" s="968"/>
      <c r="E9" s="968"/>
      <c r="F9" s="968"/>
      <c r="G9" s="968"/>
      <c r="H9" s="968"/>
      <c r="I9" s="968"/>
    </row>
    <row r="10" spans="1:21" ht="23" customHeight="1" x14ac:dyDescent="0.2">
      <c r="A10" s="1957" t="s">
        <v>511</v>
      </c>
      <c r="B10" s="1956"/>
      <c r="C10" s="1956"/>
      <c r="D10" s="1956"/>
      <c r="E10" s="1956"/>
      <c r="F10" s="1956"/>
      <c r="G10" s="1956"/>
      <c r="H10" s="1956"/>
      <c r="I10" s="1956"/>
    </row>
    <row r="11" spans="1:21" ht="47" customHeight="1" x14ac:dyDescent="0.2">
      <c r="A11" s="1952" t="s">
        <v>512</v>
      </c>
      <c r="B11" s="1952"/>
      <c r="C11" s="1952"/>
      <c r="D11" s="1952"/>
      <c r="E11" s="1952"/>
      <c r="F11" s="1952"/>
      <c r="G11" s="1952"/>
      <c r="H11" s="1952"/>
      <c r="I11" s="1952"/>
    </row>
    <row r="12" spans="1:21" ht="33" customHeight="1" x14ac:dyDescent="0.2">
      <c r="A12" s="1953" t="s">
        <v>505</v>
      </c>
      <c r="B12" s="1953"/>
      <c r="C12" s="1953"/>
      <c r="D12" s="1953"/>
      <c r="E12" s="1953"/>
      <c r="F12" s="1953"/>
      <c r="G12" s="1953"/>
      <c r="H12" s="1953"/>
      <c r="I12" s="1953"/>
    </row>
    <row r="13" spans="1:21" ht="9.75" customHeight="1" x14ac:dyDescent="0.2">
      <c r="A13" s="969"/>
      <c r="B13" s="969"/>
      <c r="C13" s="969"/>
      <c r="D13" s="969"/>
      <c r="E13" s="969"/>
      <c r="F13" s="969"/>
      <c r="G13" s="969"/>
      <c r="H13" s="969"/>
      <c r="I13" s="969"/>
    </row>
    <row r="14" spans="1:21" ht="19" customHeight="1" x14ac:dyDescent="0.2">
      <c r="A14" s="971"/>
      <c r="B14" s="971"/>
      <c r="C14" s="971"/>
      <c r="D14" s="971"/>
      <c r="E14" s="971"/>
      <c r="F14" s="984"/>
      <c r="G14" s="984"/>
      <c r="H14" s="984"/>
      <c r="I14" s="984"/>
    </row>
    <row r="15" spans="1:21" ht="46" customHeight="1" x14ac:dyDescent="0.2">
      <c r="A15" s="973" t="s">
        <v>87</v>
      </c>
      <c r="B15" s="973"/>
      <c r="C15" s="973"/>
      <c r="D15" s="973"/>
      <c r="E15" s="34"/>
      <c r="F15" s="985" t="s">
        <v>392</v>
      </c>
      <c r="G15" s="985"/>
      <c r="H15" s="985"/>
      <c r="I15" s="985"/>
    </row>
    <row r="16" spans="1:21" ht="46" customHeight="1" x14ac:dyDescent="0.2">
      <c r="A16" s="973" t="s">
        <v>85</v>
      </c>
      <c r="B16" s="973"/>
      <c r="C16" s="973"/>
      <c r="D16" s="973"/>
      <c r="E16" s="34"/>
      <c r="F16" s="970" t="s">
        <v>393</v>
      </c>
      <c r="G16" s="970"/>
      <c r="H16" s="970"/>
      <c r="I16" s="970"/>
    </row>
    <row r="17" spans="1:9" ht="14" customHeight="1" x14ac:dyDescent="0.2">
      <c r="A17" s="973" t="s">
        <v>385</v>
      </c>
      <c r="B17" s="973"/>
      <c r="C17" s="973"/>
      <c r="D17" s="973"/>
      <c r="E17" s="974"/>
      <c r="F17" s="970" t="s">
        <v>485</v>
      </c>
      <c r="G17" s="970"/>
      <c r="H17" s="970"/>
      <c r="I17" s="970"/>
    </row>
    <row r="18" spans="1:9" ht="15" customHeight="1" x14ac:dyDescent="0.2">
      <c r="A18" s="973"/>
      <c r="B18" s="973"/>
      <c r="C18" s="973"/>
      <c r="D18" s="973"/>
      <c r="E18" s="974"/>
      <c r="F18" s="970"/>
      <c r="G18" s="970"/>
      <c r="H18" s="970"/>
      <c r="I18" s="970"/>
    </row>
    <row r="19" spans="1:9" ht="18" customHeight="1" x14ac:dyDescent="0.2">
      <c r="A19" s="973"/>
      <c r="B19" s="973"/>
      <c r="C19" s="973"/>
      <c r="D19" s="973"/>
      <c r="E19" s="974"/>
      <c r="F19" s="970"/>
      <c r="G19" s="970"/>
      <c r="H19" s="970"/>
      <c r="I19" s="970"/>
    </row>
    <row r="20" spans="1:9" ht="15" customHeight="1" x14ac:dyDescent="0.2">
      <c r="A20" s="975" t="s">
        <v>86</v>
      </c>
      <c r="B20" s="975"/>
      <c r="C20" s="41"/>
      <c r="D20" s="41"/>
      <c r="E20" s="974"/>
      <c r="F20" s="970" t="s">
        <v>486</v>
      </c>
      <c r="G20" s="970"/>
      <c r="H20" s="970"/>
      <c r="I20" s="970"/>
    </row>
    <row r="21" spans="1:9" ht="15" customHeight="1" x14ac:dyDescent="0.2">
      <c r="A21" s="975"/>
      <c r="B21" s="975"/>
      <c r="C21" s="41"/>
      <c r="D21" s="41"/>
      <c r="E21" s="974"/>
      <c r="F21" s="970"/>
      <c r="G21" s="970"/>
      <c r="H21" s="970"/>
      <c r="I21" s="970"/>
    </row>
    <row r="22" spans="1:9" ht="15" customHeight="1" x14ac:dyDescent="0.2">
      <c r="A22" s="975"/>
      <c r="B22" s="975"/>
      <c r="C22" s="41"/>
      <c r="D22" s="41"/>
      <c r="E22" s="974"/>
      <c r="F22" s="970" t="s">
        <v>394</v>
      </c>
      <c r="G22" s="970"/>
      <c r="H22" s="970"/>
      <c r="I22" s="970"/>
    </row>
    <row r="23" spans="1:9" ht="12" customHeight="1" x14ac:dyDescent="0.2">
      <c r="A23" s="975"/>
      <c r="B23" s="975"/>
      <c r="C23" s="41"/>
      <c r="D23" s="41"/>
      <c r="E23" s="974"/>
      <c r="F23" s="970" t="s">
        <v>395</v>
      </c>
      <c r="G23" s="970"/>
      <c r="H23" s="970"/>
      <c r="I23" s="970"/>
    </row>
    <row r="24" spans="1:9" ht="12" customHeight="1" x14ac:dyDescent="0.2">
      <c r="A24" s="966"/>
      <c r="B24" s="966"/>
      <c r="C24" s="964"/>
      <c r="D24" s="964"/>
      <c r="E24" s="965"/>
      <c r="F24" s="970" t="s">
        <v>516</v>
      </c>
      <c r="G24" s="970"/>
      <c r="H24" s="970"/>
      <c r="I24" s="970"/>
    </row>
    <row r="25" spans="1:9" ht="12" customHeight="1" x14ac:dyDescent="0.2">
      <c r="A25" s="972"/>
      <c r="B25" s="972"/>
      <c r="C25" s="972"/>
      <c r="D25" s="972"/>
      <c r="E25" s="972"/>
      <c r="F25" s="970" t="s">
        <v>396</v>
      </c>
      <c r="G25" s="970"/>
      <c r="H25" s="970"/>
      <c r="I25" s="970"/>
    </row>
    <row r="26" spans="1:9" ht="12" customHeight="1" x14ac:dyDescent="0.2">
      <c r="A26" s="972"/>
      <c r="B26" s="972"/>
      <c r="C26" s="972"/>
      <c r="D26" s="972"/>
      <c r="E26" s="972"/>
    </row>
    <row r="27" spans="1:9" ht="46" customHeight="1" x14ac:dyDescent="0.2">
      <c r="A27" s="971"/>
      <c r="B27" s="971"/>
      <c r="C27" s="971"/>
      <c r="D27" s="971"/>
      <c r="E27" s="971"/>
      <c r="F27" s="971"/>
      <c r="G27" s="971"/>
      <c r="H27" s="971"/>
      <c r="I27" s="971"/>
    </row>
    <row r="28" spans="1:9" ht="46" customHeight="1" x14ac:dyDescent="0.2">
      <c r="A28" s="971"/>
      <c r="B28" s="971"/>
      <c r="C28" s="971"/>
      <c r="D28" s="971"/>
      <c r="E28" s="971"/>
      <c r="F28" s="971"/>
      <c r="G28" s="971"/>
      <c r="H28" s="971"/>
      <c r="I28" s="971"/>
    </row>
    <row r="29" spans="1:9" ht="46" customHeight="1" x14ac:dyDescent="0.2">
      <c r="A29" s="972" t="s">
        <v>137</v>
      </c>
      <c r="B29" s="972"/>
      <c r="C29" s="972"/>
      <c r="D29" s="972"/>
      <c r="E29" s="972"/>
      <c r="F29" s="972"/>
      <c r="G29" s="972"/>
      <c r="H29" s="972"/>
      <c r="I29" s="972"/>
    </row>
    <row r="30" spans="1:9" ht="85" customHeight="1" x14ac:dyDescent="0.2">
      <c r="A30" s="791"/>
      <c r="B30" s="791"/>
      <c r="C30" s="791"/>
      <c r="D30" s="791"/>
      <c r="E30" s="791"/>
    </row>
    <row r="31" spans="1:9" ht="13" customHeight="1" x14ac:dyDescent="0.2">
      <c r="A31" s="976"/>
      <c r="B31" s="976"/>
      <c r="C31" s="976"/>
      <c r="D31" s="976"/>
      <c r="E31" s="15"/>
    </row>
    <row r="32" spans="1:9" x14ac:dyDescent="0.2">
      <c r="B32" s="977"/>
      <c r="C32" s="977"/>
      <c r="D32" s="977"/>
      <c r="E32" s="139"/>
    </row>
    <row r="33" spans="1:9" x14ac:dyDescent="0.2">
      <c r="A33" s="37"/>
      <c r="B33" s="14"/>
      <c r="C33" s="14"/>
      <c r="D33" s="14"/>
      <c r="E33" s="14"/>
      <c r="F33" s="790"/>
      <c r="G33" s="790"/>
      <c r="H33" s="790"/>
      <c r="I33" s="790"/>
    </row>
    <row r="34" spans="1:9" x14ac:dyDescent="0.2">
      <c r="A34" s="976"/>
      <c r="B34" s="976"/>
      <c r="C34" s="976"/>
      <c r="D34" s="976"/>
      <c r="E34" s="15"/>
    </row>
    <row r="35" spans="1:9" x14ac:dyDescent="0.2">
      <c r="A35" s="790"/>
      <c r="B35" s="790"/>
      <c r="C35" s="790"/>
      <c r="D35" s="790"/>
      <c r="E35" s="790"/>
    </row>
    <row r="36" spans="1:9" x14ac:dyDescent="0.2">
      <c r="A36" s="976"/>
      <c r="B36" s="976"/>
      <c r="C36" s="976"/>
      <c r="D36" s="976"/>
      <c r="E36" s="15"/>
      <c r="H36" s="976"/>
      <c r="I36" s="976"/>
    </row>
    <row r="37" spans="1:9" x14ac:dyDescent="0.2">
      <c r="A37" s="976"/>
      <c r="B37" s="976"/>
      <c r="C37" s="976"/>
      <c r="D37" s="976"/>
      <c r="E37" s="15"/>
      <c r="H37" s="976"/>
      <c r="I37" s="976"/>
    </row>
    <row r="38" spans="1:9" x14ac:dyDescent="0.2">
      <c r="A38" s="976"/>
      <c r="B38" s="976"/>
      <c r="C38" s="976"/>
      <c r="D38" s="976"/>
      <c r="E38" s="15"/>
      <c r="H38" s="976"/>
      <c r="I38" s="976"/>
    </row>
    <row r="39" spans="1:9" x14ac:dyDescent="0.2">
      <c r="A39" s="976"/>
      <c r="B39" s="976"/>
      <c r="C39" s="976"/>
      <c r="D39" s="976"/>
      <c r="E39" s="15"/>
      <c r="H39" s="976"/>
      <c r="I39" s="976"/>
    </row>
    <row r="40" spans="1:9" x14ac:dyDescent="0.2">
      <c r="A40" s="976"/>
      <c r="B40" s="976"/>
      <c r="C40" s="976"/>
      <c r="D40" s="976"/>
      <c r="E40" s="15"/>
      <c r="H40" s="976"/>
      <c r="I40" s="976"/>
    </row>
    <row r="41" spans="1:9" x14ac:dyDescent="0.2">
      <c r="A41" s="976"/>
      <c r="B41" s="976"/>
      <c r="C41" s="976"/>
      <c r="D41" s="976"/>
      <c r="E41" s="15"/>
      <c r="H41" s="976"/>
      <c r="I41" s="976"/>
    </row>
    <row r="42" spans="1:9" x14ac:dyDescent="0.2">
      <c r="A42" s="976"/>
      <c r="B42" s="976"/>
      <c r="C42" s="976"/>
      <c r="D42" s="976"/>
      <c r="E42" s="15"/>
      <c r="H42" s="976"/>
      <c r="I42" s="976"/>
    </row>
    <row r="43" spans="1:9" x14ac:dyDescent="0.2">
      <c r="A43" s="976"/>
      <c r="B43" s="976"/>
      <c r="C43" s="976"/>
      <c r="D43" s="976"/>
      <c r="E43" s="15"/>
      <c r="H43" s="976"/>
      <c r="I43" s="976"/>
    </row>
    <row r="44" spans="1:9" x14ac:dyDescent="0.2">
      <c r="A44" s="37"/>
      <c r="B44" s="15"/>
      <c r="C44" s="15"/>
      <c r="D44" s="15"/>
      <c r="E44" s="15"/>
      <c r="H44" s="976"/>
      <c r="I44" s="976"/>
    </row>
    <row r="45" spans="1:9" ht="18" x14ac:dyDescent="0.2">
      <c r="A45" s="41"/>
      <c r="B45" s="977"/>
      <c r="C45" s="977"/>
      <c r="D45" s="977"/>
      <c r="E45" s="39"/>
      <c r="H45" s="976"/>
      <c r="I45" s="976"/>
    </row>
    <row r="46" spans="1:9" x14ac:dyDescent="0.2">
      <c r="A46" s="37"/>
      <c r="B46" s="14"/>
      <c r="C46" s="14"/>
      <c r="D46" s="14"/>
      <c r="E46" s="14"/>
    </row>
    <row r="47" spans="1:9" ht="16" x14ac:dyDescent="0.2">
      <c r="A47" s="980"/>
      <c r="B47" s="980"/>
      <c r="C47" s="980"/>
      <c r="D47" s="980"/>
      <c r="E47" s="35"/>
    </row>
    <row r="48" spans="1:9" ht="18" x14ac:dyDescent="0.2">
      <c r="A48" s="979"/>
      <c r="B48" s="979"/>
      <c r="C48" s="979"/>
      <c r="D48" s="979"/>
      <c r="E48" s="39"/>
    </row>
    <row r="49" spans="1:9" x14ac:dyDescent="0.2">
      <c r="A49" s="37"/>
      <c r="B49" s="14"/>
      <c r="C49" s="14"/>
      <c r="D49" s="14"/>
      <c r="E49" s="14"/>
    </row>
    <row r="50" spans="1:9" x14ac:dyDescent="0.2">
      <c r="A50" s="37"/>
      <c r="B50" s="14"/>
      <c r="C50" s="14"/>
      <c r="D50" s="14"/>
      <c r="E50" s="14"/>
    </row>
    <row r="51" spans="1:9" x14ac:dyDescent="0.2">
      <c r="A51" s="37"/>
      <c r="B51" s="14"/>
      <c r="C51" s="14"/>
      <c r="D51" s="14"/>
      <c r="E51" s="14"/>
    </row>
    <row r="52" spans="1:9" x14ac:dyDescent="0.2">
      <c r="A52" s="37"/>
      <c r="B52" s="14"/>
      <c r="C52" s="14"/>
      <c r="D52" s="14"/>
      <c r="E52" s="14"/>
    </row>
    <row r="53" spans="1:9" x14ac:dyDescent="0.2">
      <c r="A53" s="37"/>
      <c r="B53" s="14"/>
      <c r="C53" s="14"/>
      <c r="D53" s="14"/>
      <c r="E53" s="14"/>
    </row>
    <row r="55" spans="1:9" x14ac:dyDescent="0.2">
      <c r="I55" s="40"/>
    </row>
    <row r="56" spans="1:9" x14ac:dyDescent="0.2">
      <c r="I56" s="38"/>
    </row>
    <row r="58" spans="1:9" x14ac:dyDescent="0.2">
      <c r="I58" s="32"/>
    </row>
    <row r="59" spans="1:9" x14ac:dyDescent="0.2">
      <c r="I59" s="978"/>
    </row>
    <row r="60" spans="1:9" x14ac:dyDescent="0.2">
      <c r="I60" s="978"/>
    </row>
    <row r="61" spans="1:9" x14ac:dyDescent="0.2">
      <c r="I61" s="978"/>
    </row>
  </sheetData>
  <sheetProtection sheet="1" objects="1" scenarios="1"/>
  <mergeCells count="59">
    <mergeCell ref="M3:U3"/>
    <mergeCell ref="A1:I1"/>
    <mergeCell ref="A4:I4"/>
    <mergeCell ref="A3:I3"/>
    <mergeCell ref="A31:D31"/>
    <mergeCell ref="A8:I8"/>
    <mergeCell ref="F14:I14"/>
    <mergeCell ref="F15:I15"/>
    <mergeCell ref="A6:I6"/>
    <mergeCell ref="A12:I12"/>
    <mergeCell ref="A5:I5"/>
    <mergeCell ref="A2:I2"/>
    <mergeCell ref="A15:D15"/>
    <mergeCell ref="A16:D16"/>
    <mergeCell ref="A14:E14"/>
    <mergeCell ref="A29:I29"/>
    <mergeCell ref="I59:I61"/>
    <mergeCell ref="A48:D48"/>
    <mergeCell ref="A34:D34"/>
    <mergeCell ref="A36:D36"/>
    <mergeCell ref="A37:D37"/>
    <mergeCell ref="A38:D38"/>
    <mergeCell ref="A39:D39"/>
    <mergeCell ref="A40:D40"/>
    <mergeCell ref="A41:D41"/>
    <mergeCell ref="A42:D42"/>
    <mergeCell ref="A43:D43"/>
    <mergeCell ref="A47:D47"/>
    <mergeCell ref="H38:I38"/>
    <mergeCell ref="H39:I39"/>
    <mergeCell ref="H45:I45"/>
    <mergeCell ref="B45:D45"/>
    <mergeCell ref="H43:I43"/>
    <mergeCell ref="H44:I44"/>
    <mergeCell ref="B32:D32"/>
    <mergeCell ref="H36:I36"/>
    <mergeCell ref="H37:I37"/>
    <mergeCell ref="H40:I40"/>
    <mergeCell ref="H41:I41"/>
    <mergeCell ref="H42:I42"/>
    <mergeCell ref="A27:I27"/>
    <mergeCell ref="A25:E26"/>
    <mergeCell ref="A28:I28"/>
    <mergeCell ref="A17:D19"/>
    <mergeCell ref="E17:E19"/>
    <mergeCell ref="A20:B23"/>
    <mergeCell ref="E20:E23"/>
    <mergeCell ref="F23:I23"/>
    <mergeCell ref="F22:I22"/>
    <mergeCell ref="F17:I19"/>
    <mergeCell ref="F20:I21"/>
    <mergeCell ref="F25:I25"/>
    <mergeCell ref="F24:I24"/>
    <mergeCell ref="A7:I7"/>
    <mergeCell ref="A10:I10"/>
    <mergeCell ref="A13:I13"/>
    <mergeCell ref="F16:I16"/>
    <mergeCell ref="A11:I11"/>
    <mergeCell ref="A9:I9"/>
  </mergeCells>
  <phoneticPr fontId="6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53"/>
  <sheetViews>
    <sheetView view="pageBreakPreview" topLeftCell="A34" zoomScaleNormal="125" zoomScaleSheetLayoutView="100" zoomScalePageLayoutView="125" workbookViewId="0">
      <selection activeCell="N32" sqref="N32"/>
    </sheetView>
  </sheetViews>
  <sheetFormatPr baseColWidth="10" defaultColWidth="8.83203125" defaultRowHeight="13" x14ac:dyDescent="0.15"/>
  <cols>
    <col min="1" max="7" width="12.6640625" style="245" customWidth="1"/>
    <col min="8" max="8" width="14" style="245" customWidth="1"/>
    <col min="9" max="10" width="12.6640625" style="245" customWidth="1"/>
    <col min="11" max="11" width="8.83203125" style="245"/>
    <col min="12" max="12" width="11.33203125" style="245" bestFit="1" customWidth="1"/>
    <col min="13" max="16384" width="8.83203125" style="245"/>
  </cols>
  <sheetData>
    <row r="1" spans="1:14" ht="20" x14ac:dyDescent="0.2">
      <c r="A1" s="1118" t="s">
        <v>20</v>
      </c>
      <c r="B1" s="1119"/>
      <c r="C1" s="1119"/>
      <c r="D1" s="1119"/>
      <c r="E1" s="1119"/>
      <c r="F1" s="1119"/>
      <c r="G1" s="1119"/>
      <c r="H1" s="1119"/>
      <c r="I1" s="1120"/>
    </row>
    <row r="2" spans="1:14" ht="39" customHeight="1" x14ac:dyDescent="0.2">
      <c r="A2" s="1672" t="s">
        <v>203</v>
      </c>
      <c r="B2" s="1673"/>
      <c r="C2" s="1673"/>
      <c r="D2" s="1673"/>
      <c r="E2" s="1673"/>
      <c r="F2" s="1673"/>
      <c r="G2" s="1673"/>
      <c r="H2" s="1673"/>
      <c r="I2" s="1674"/>
    </row>
    <row r="3" spans="1:14" ht="20" x14ac:dyDescent="0.2">
      <c r="A3" s="1133" t="str">
        <f>'Forside 1'!A6:I6</f>
        <v>Gældende fra 1. april 2018</v>
      </c>
      <c r="B3" s="1134"/>
      <c r="C3" s="1134"/>
      <c r="D3" s="1134"/>
      <c r="E3" s="1134"/>
      <c r="F3" s="1134"/>
      <c r="G3" s="1134"/>
      <c r="H3" s="1134"/>
      <c r="I3" s="1135"/>
    </row>
    <row r="4" spans="1:14" s="357" customFormat="1" ht="34" customHeight="1" thickBot="1" x14ac:dyDescent="0.2">
      <c r="A4" s="1734" t="s">
        <v>386</v>
      </c>
      <c r="B4" s="1735"/>
      <c r="C4" s="1735"/>
      <c r="D4" s="1735"/>
      <c r="E4" s="1735"/>
      <c r="F4" s="1735"/>
      <c r="G4" s="1735"/>
      <c r="H4" s="1735"/>
      <c r="I4" s="1736"/>
    </row>
    <row r="5" spans="1:14" ht="14" x14ac:dyDescent="0.15">
      <c r="A5" s="265"/>
      <c r="B5" s="265"/>
      <c r="C5" s="265"/>
      <c r="D5" s="265"/>
      <c r="E5" s="265"/>
      <c r="F5" s="265"/>
      <c r="G5" s="265"/>
      <c r="H5" s="265"/>
      <c r="I5" s="265"/>
      <c r="J5" s="265"/>
    </row>
    <row r="6" spans="1:14" ht="15" thickBot="1" x14ac:dyDescent="0.2">
      <c r="A6" s="265"/>
      <c r="B6" s="265"/>
      <c r="C6" s="265"/>
      <c r="D6" s="265"/>
      <c r="E6" s="265"/>
      <c r="F6" s="265"/>
      <c r="G6" s="265"/>
      <c r="H6" s="265"/>
      <c r="I6" s="265"/>
      <c r="J6" s="265"/>
    </row>
    <row r="7" spans="1:14" s="275" customFormat="1" ht="19" thickBot="1" x14ac:dyDescent="0.25">
      <c r="A7" s="1675" t="s">
        <v>338</v>
      </c>
      <c r="B7" s="1676"/>
      <c r="C7" s="1676"/>
      <c r="D7" s="1676"/>
      <c r="E7" s="1676"/>
      <c r="F7" s="1677"/>
      <c r="G7" s="1675" t="s">
        <v>181</v>
      </c>
      <c r="H7" s="1676"/>
      <c r="I7" s="1677"/>
      <c r="J7" s="943"/>
    </row>
    <row r="8" spans="1:14" s="275" customFormat="1" ht="14" x14ac:dyDescent="0.15">
      <c r="A8" s="642" t="s">
        <v>58</v>
      </c>
      <c r="B8" s="643" t="s">
        <v>77</v>
      </c>
      <c r="C8" s="643" t="s">
        <v>78</v>
      </c>
      <c r="D8" s="643" t="s">
        <v>79</v>
      </c>
      <c r="E8" s="643" t="s">
        <v>80</v>
      </c>
      <c r="F8" s="643" t="s">
        <v>81</v>
      </c>
      <c r="G8" s="1728" t="s">
        <v>496</v>
      </c>
      <c r="H8" s="1729"/>
      <c r="I8" s="944">
        <v>0.14000000000000001</v>
      </c>
    </row>
    <row r="9" spans="1:14" s="275" customFormat="1" ht="14" customHeight="1" x14ac:dyDescent="0.15">
      <c r="A9" s="314" t="s">
        <v>246</v>
      </c>
      <c r="B9" s="581">
        <f>'Statens skalatrin'!D46+('3f (Lilleskolerne, DF, DSSV)'!F24/12)</f>
        <v>20463.777469250002</v>
      </c>
      <c r="C9" s="581">
        <f>'Statens skalatrin'!F46+('3f (Lilleskolerne, DF, DSSV)'!F24/12)</f>
        <v>20886.277469250002</v>
      </c>
      <c r="D9" s="581">
        <f>'Statens skalatrin'!H46+('3f (Lilleskolerne, DF, DSSV)'!F24/12)</f>
        <v>21178.777469250002</v>
      </c>
      <c r="E9" s="581">
        <f>'Statens skalatrin'!J46+('3f (Lilleskolerne, DF, DSSV)'!F24/12)</f>
        <v>21601.197469250001</v>
      </c>
      <c r="F9" s="581">
        <f>'Statens skalatrin'!L46+('3f (Lilleskolerne, DF, DSSV)'!F24/12)</f>
        <v>21893.617469249999</v>
      </c>
      <c r="G9" s="1730">
        <f>'Statens skalatrin'!O46</f>
        <v>18969.87</v>
      </c>
      <c r="H9" s="1731"/>
      <c r="I9" s="412">
        <f>G9*$I$8</f>
        <v>2655.7818000000002</v>
      </c>
      <c r="J9" s="278"/>
      <c r="K9" s="274"/>
    </row>
    <row r="10" spans="1:14" s="275" customFormat="1" ht="15" customHeight="1" x14ac:dyDescent="0.15">
      <c r="A10" s="314">
        <v>17</v>
      </c>
      <c r="B10" s="581">
        <f>'Statens skalatrin'!D55</f>
        <v>21305</v>
      </c>
      <c r="C10" s="581">
        <f>'Statens skalatrin'!F55</f>
        <v>21760.42</v>
      </c>
      <c r="D10" s="581">
        <f>'Statens skalatrin'!H55</f>
        <v>22075.67</v>
      </c>
      <c r="E10" s="581">
        <f>'Statens skalatrin'!J55</f>
        <v>22531</v>
      </c>
      <c r="F10" s="581">
        <f>'Statens skalatrin'!L55</f>
        <v>22846.080000000002</v>
      </c>
      <c r="G10" s="1730">
        <f>'Statens skalatrin'!O55</f>
        <v>20009.669999999998</v>
      </c>
      <c r="H10" s="1731"/>
      <c r="I10" s="412">
        <f>G10*$I$8</f>
        <v>2801.3537999999999</v>
      </c>
      <c r="J10" s="278"/>
      <c r="K10" s="274"/>
    </row>
    <row r="11" spans="1:14" s="275" customFormat="1" ht="15" customHeight="1" thickBot="1" x14ac:dyDescent="0.2">
      <c r="A11" s="315" t="s">
        <v>182</v>
      </c>
      <c r="B11" s="582">
        <f>'Statens skalatrin'!D64+('3f (Lilleskolerne, DF, DSSV)'!F25/12)</f>
        <v>22339.133698500002</v>
      </c>
      <c r="C11" s="582">
        <f>'Statens skalatrin'!F64+('3f (Lilleskolerne, DF, DSSV)'!F25/12)</f>
        <v>22830.0536985</v>
      </c>
      <c r="D11" s="582">
        <f>'Statens skalatrin'!H64+('3f (Lilleskolerne, DF, DSSV)'!F25/12)</f>
        <v>23170.0536985</v>
      </c>
      <c r="E11" s="582">
        <f>'Statens skalatrin'!J64+('3f (Lilleskolerne, DF, DSSV)'!F25/12)</f>
        <v>23661.0536985</v>
      </c>
      <c r="F11" s="582">
        <f>'Statens skalatrin'!L64+('3f (Lilleskolerne, DF, DSSV)'!F25/12)</f>
        <v>24000.8036985</v>
      </c>
      <c r="G11" s="1732">
        <f>'Statens skalatrin'!O64</f>
        <v>21137.79</v>
      </c>
      <c r="H11" s="1733"/>
      <c r="I11" s="413">
        <f>G11*$I$8</f>
        <v>2959.2906000000003</v>
      </c>
      <c r="J11" s="278"/>
      <c r="K11" s="274"/>
      <c r="N11" s="277"/>
    </row>
    <row r="12" spans="1:14" s="275" customFormat="1" ht="14" x14ac:dyDescent="0.15">
      <c r="B12" s="276"/>
      <c r="C12" s="276"/>
      <c r="D12" s="276"/>
      <c r="E12" s="276"/>
      <c r="F12" s="276"/>
    </row>
    <row r="13" spans="1:14" s="275" customFormat="1" ht="15" thickBot="1" x14ac:dyDescent="0.2">
      <c r="B13" s="276"/>
      <c r="C13" s="276"/>
      <c r="D13" s="276"/>
      <c r="E13" s="276"/>
      <c r="F13" s="276"/>
    </row>
    <row r="14" spans="1:14" s="275" customFormat="1" ht="19" thickBot="1" x14ac:dyDescent="0.25">
      <c r="A14" s="1675" t="s">
        <v>339</v>
      </c>
      <c r="B14" s="1676"/>
      <c r="C14" s="1676"/>
      <c r="D14" s="1676"/>
      <c r="E14" s="1676"/>
      <c r="F14" s="1677"/>
    </row>
    <row r="15" spans="1:14" s="275" customFormat="1" ht="15" customHeight="1" thickBot="1" x14ac:dyDescent="0.2">
      <c r="A15" s="1702" t="s">
        <v>184</v>
      </c>
      <c r="B15" s="1703"/>
      <c r="C15" s="1703"/>
      <c r="D15" s="1703"/>
      <c r="E15" s="1703"/>
      <c r="F15" s="1704"/>
    </row>
    <row r="16" spans="1:14" s="275" customFormat="1" ht="16" customHeight="1" x14ac:dyDescent="0.15">
      <c r="A16" s="516" t="s">
        <v>58</v>
      </c>
      <c r="B16" s="517" t="s">
        <v>77</v>
      </c>
      <c r="C16" s="516" t="s">
        <v>78</v>
      </c>
      <c r="D16" s="517" t="s">
        <v>79</v>
      </c>
      <c r="E16" s="516" t="s">
        <v>80</v>
      </c>
      <c r="F16" s="518" t="s">
        <v>81</v>
      </c>
    </row>
    <row r="17" spans="1:12" s="275" customFormat="1" ht="16" customHeight="1" thickBot="1" x14ac:dyDescent="0.2">
      <c r="A17" s="288" t="s">
        <v>246</v>
      </c>
      <c r="B17" s="583">
        <f>B9*12/1924</f>
        <v>127.63270770841997</v>
      </c>
      <c r="C17" s="584">
        <f>C9*12/1924</f>
        <v>130.26784284355512</v>
      </c>
      <c r="D17" s="583">
        <f>D9*12/1924</f>
        <v>132.09216716787944</v>
      </c>
      <c r="E17" s="584">
        <f>(E9*12)/1924</f>
        <v>134.72680334251561</v>
      </c>
      <c r="F17" s="585">
        <f>(F9*12)/1924</f>
        <v>136.55062870634097</v>
      </c>
      <c r="H17" s="274"/>
      <c r="I17" s="274"/>
      <c r="J17" s="274"/>
      <c r="K17" s="274"/>
      <c r="L17" s="274"/>
    </row>
    <row r="18" spans="1:12" s="275" customFormat="1" ht="16" customHeight="1" x14ac:dyDescent="0.15">
      <c r="A18" s="284"/>
      <c r="B18" s="283"/>
      <c r="C18" s="283"/>
      <c r="D18" s="283"/>
      <c r="E18" s="283"/>
      <c r="F18" s="283"/>
      <c r="H18" s="274"/>
      <c r="I18" s="274"/>
      <c r="J18" s="274"/>
      <c r="K18" s="274"/>
      <c r="L18" s="274"/>
    </row>
    <row r="19" spans="1:12" s="414" customFormat="1" ht="15" thickBot="1" x14ac:dyDescent="0.2">
      <c r="A19" s="284"/>
      <c r="B19" s="283"/>
      <c r="C19" s="283"/>
      <c r="D19" s="283"/>
      <c r="E19" s="283"/>
      <c r="F19" s="283"/>
    </row>
    <row r="20" spans="1:12" ht="20" customHeight="1" x14ac:dyDescent="0.15">
      <c r="A20" s="1076" t="s">
        <v>185</v>
      </c>
      <c r="B20" s="1077"/>
      <c r="C20" s="1077"/>
      <c r="D20" s="1077"/>
      <c r="E20" s="1077"/>
      <c r="F20" s="1077"/>
      <c r="G20" s="1077"/>
      <c r="H20" s="1077"/>
      <c r="I20" s="1078"/>
      <c r="J20" s="265"/>
    </row>
    <row r="21" spans="1:12" ht="20" customHeight="1" thickBot="1" x14ac:dyDescent="0.2">
      <c r="A21" s="1167" t="s">
        <v>351</v>
      </c>
      <c r="B21" s="1168"/>
      <c r="C21" s="1168"/>
      <c r="D21" s="1168"/>
      <c r="E21" s="1168"/>
      <c r="F21" s="1168"/>
      <c r="G21" s="1168"/>
      <c r="H21" s="1168"/>
      <c r="I21" s="1169"/>
      <c r="J21" s="265"/>
    </row>
    <row r="22" spans="1:12" s="275" customFormat="1" ht="30" customHeight="1" thickBot="1" x14ac:dyDescent="0.2">
      <c r="A22" s="1657"/>
      <c r="B22" s="1658"/>
      <c r="C22" s="1658"/>
      <c r="D22" s="1658"/>
      <c r="E22" s="1658"/>
      <c r="F22" s="1658"/>
      <c r="G22" s="1658"/>
      <c r="H22" s="802" t="s">
        <v>399</v>
      </c>
      <c r="I22" s="795" t="s">
        <v>400</v>
      </c>
    </row>
    <row r="23" spans="1:12" s="275" customFormat="1" ht="15" thickBot="1" x14ac:dyDescent="0.2">
      <c r="A23" s="1724"/>
      <c r="B23" s="1725"/>
      <c r="C23" s="1725"/>
      <c r="D23" s="1725"/>
      <c r="E23" s="1725"/>
      <c r="F23" s="1725"/>
      <c r="G23" s="1726"/>
      <c r="H23" s="685">
        <v>40999</v>
      </c>
      <c r="I23" s="805" t="str">
        <f>'Løntabel gældende fra'!D1</f>
        <v>01/04/2018</v>
      </c>
    </row>
    <row r="24" spans="1:12" s="275" customFormat="1" ht="17" customHeight="1" x14ac:dyDescent="0.15">
      <c r="A24" s="1747" t="s">
        <v>186</v>
      </c>
      <c r="B24" s="1748"/>
      <c r="C24" s="1748"/>
      <c r="D24" s="1748"/>
      <c r="E24" s="1748"/>
      <c r="F24" s="644"/>
      <c r="G24" s="645" t="s">
        <v>178</v>
      </c>
      <c r="H24" s="189">
        <v>22.32</v>
      </c>
      <c r="I24" s="649">
        <f>H24+(H24*'Løntabel gældende fra'!$D$7%)</f>
        <v>23.875324559999999</v>
      </c>
    </row>
    <row r="25" spans="1:12" s="275" customFormat="1" ht="17" customHeight="1" x14ac:dyDescent="0.15">
      <c r="A25" s="1670" t="s">
        <v>187</v>
      </c>
      <c r="B25" s="1671"/>
      <c r="C25" s="1671"/>
      <c r="D25" s="1671"/>
      <c r="E25" s="1671"/>
      <c r="F25" s="650"/>
      <c r="G25" s="273" t="s">
        <v>178</v>
      </c>
      <c r="H25" s="211">
        <v>39.92</v>
      </c>
      <c r="I25" s="649">
        <f>H25+(H25*'Løntabel gældende fra'!$D$7%)</f>
        <v>42.701745360000004</v>
      </c>
    </row>
    <row r="26" spans="1:12" s="275" customFormat="1" ht="17" customHeight="1" x14ac:dyDescent="0.15">
      <c r="A26" s="1662" t="s">
        <v>188</v>
      </c>
      <c r="B26" s="1663"/>
      <c r="C26" s="1663"/>
      <c r="D26" s="1663"/>
      <c r="E26" s="1663"/>
      <c r="F26" s="1663"/>
      <c r="G26" s="273" t="s">
        <v>178</v>
      </c>
      <c r="H26" s="211">
        <v>39.92</v>
      </c>
      <c r="I26" s="649">
        <f>H26+(H26*'Løntabel gældende fra'!$D$7%)</f>
        <v>42.701745360000004</v>
      </c>
    </row>
    <row r="27" spans="1:12" s="275" customFormat="1" ht="17" customHeight="1" thickBot="1" x14ac:dyDescent="0.2">
      <c r="A27" s="304" t="s">
        <v>177</v>
      </c>
      <c r="B27" s="303"/>
      <c r="C27" s="303"/>
      <c r="D27" s="303"/>
      <c r="E27" s="287"/>
      <c r="F27" s="287"/>
      <c r="G27" s="298" t="s">
        <v>178</v>
      </c>
      <c r="H27" s="190">
        <v>39.92</v>
      </c>
      <c r="I27" s="651">
        <f>H27+(H27*'Løntabel gældende fra'!$D$7%)</f>
        <v>42.701745360000004</v>
      </c>
    </row>
    <row r="28" spans="1:12" s="275" customFormat="1" ht="14" x14ac:dyDescent="0.15">
      <c r="A28" s="265"/>
      <c r="B28" s="265"/>
      <c r="C28" s="265"/>
      <c r="D28" s="265"/>
      <c r="E28" s="265"/>
      <c r="F28" s="266"/>
      <c r="G28" s="265"/>
      <c r="H28" s="266"/>
      <c r="I28" s="265"/>
    </row>
    <row r="29" spans="1:12" s="275" customFormat="1" ht="15" thickBot="1" x14ac:dyDescent="0.2">
      <c r="A29" s="265"/>
      <c r="B29" s="265"/>
      <c r="C29" s="265"/>
      <c r="D29" s="265"/>
      <c r="E29" s="265"/>
      <c r="F29" s="266"/>
      <c r="G29" s="265"/>
      <c r="H29" s="266"/>
      <c r="I29" s="265"/>
    </row>
    <row r="30" spans="1:12" s="275" customFormat="1" ht="18" x14ac:dyDescent="0.15">
      <c r="A30" s="1076" t="s">
        <v>189</v>
      </c>
      <c r="B30" s="1077"/>
      <c r="C30" s="1077"/>
      <c r="D30" s="1077"/>
      <c r="E30" s="1077"/>
      <c r="F30" s="1077"/>
      <c r="G30" s="1077"/>
      <c r="H30" s="1077"/>
      <c r="I30" s="1078"/>
    </row>
    <row r="31" spans="1:12" s="275" customFormat="1" ht="17" thickBot="1" x14ac:dyDescent="0.2">
      <c r="A31" s="1167" t="s">
        <v>345</v>
      </c>
      <c r="B31" s="1168"/>
      <c r="C31" s="1168"/>
      <c r="D31" s="1168"/>
      <c r="E31" s="1168"/>
      <c r="F31" s="1168"/>
      <c r="G31" s="1168"/>
      <c r="H31" s="1168"/>
      <c r="I31" s="1169"/>
    </row>
    <row r="32" spans="1:12" s="275" customFormat="1" ht="29" thickBot="1" x14ac:dyDescent="0.2">
      <c r="A32" s="1724"/>
      <c r="B32" s="1725"/>
      <c r="C32" s="1725"/>
      <c r="D32" s="1725"/>
      <c r="E32" s="1725"/>
      <c r="F32" s="1725"/>
      <c r="G32" s="1726"/>
      <c r="H32" s="802" t="s">
        <v>399</v>
      </c>
      <c r="I32" s="795" t="s">
        <v>400</v>
      </c>
    </row>
    <row r="33" spans="1:9" s="275" customFormat="1" ht="15" thickBot="1" x14ac:dyDescent="0.2">
      <c r="A33" s="1744"/>
      <c r="B33" s="1745"/>
      <c r="C33" s="1745"/>
      <c r="D33" s="1745"/>
      <c r="E33" s="1745"/>
      <c r="F33" s="1745"/>
      <c r="G33" s="1746"/>
      <c r="H33" s="685">
        <v>40999</v>
      </c>
      <c r="I33" s="805" t="str">
        <f>'Løntabel gældende fra'!D1</f>
        <v>01/04/2018</v>
      </c>
    </row>
    <row r="34" spans="1:9" s="275" customFormat="1" ht="15" thickBot="1" x14ac:dyDescent="0.2">
      <c r="A34" s="1217" t="s">
        <v>324</v>
      </c>
      <c r="B34" s="1218"/>
      <c r="C34" s="1218"/>
      <c r="D34" s="1218"/>
      <c r="E34" s="1218"/>
      <c r="F34" s="696"/>
      <c r="G34" s="697" t="s">
        <v>178</v>
      </c>
      <c r="H34" s="191">
        <v>6.88</v>
      </c>
      <c r="I34" s="632">
        <f>H34+(H34*'Løntabel gældende fra'!D7%)</f>
        <v>7.3594190399999997</v>
      </c>
    </row>
    <row r="35" spans="1:9" s="275" customFormat="1" ht="14" x14ac:dyDescent="0.15">
      <c r="A35" s="265"/>
      <c r="B35" s="265"/>
      <c r="C35" s="265"/>
      <c r="D35" s="265"/>
      <c r="E35" s="265"/>
      <c r="F35" s="266"/>
      <c r="G35" s="265"/>
      <c r="H35" s="266"/>
      <c r="I35" s="265"/>
    </row>
    <row r="36" spans="1:9" s="275" customFormat="1" ht="15" thickBot="1" x14ac:dyDescent="0.2">
      <c r="A36" s="265"/>
      <c r="B36" s="265"/>
      <c r="C36" s="265"/>
      <c r="D36" s="265"/>
      <c r="E36" s="265"/>
      <c r="F36" s="266"/>
      <c r="G36" s="265"/>
      <c r="H36" s="266"/>
      <c r="I36" s="265"/>
    </row>
    <row r="37" spans="1:9" s="275" customFormat="1" ht="18" x14ac:dyDescent="0.15">
      <c r="A37" s="1076" t="s">
        <v>376</v>
      </c>
      <c r="B37" s="1077"/>
      <c r="C37" s="1077"/>
      <c r="D37" s="1077"/>
      <c r="E37" s="1077"/>
      <c r="F37" s="1077"/>
      <c r="G37" s="1077"/>
      <c r="H37" s="1077"/>
      <c r="I37" s="1078"/>
    </row>
    <row r="38" spans="1:9" s="275" customFormat="1" ht="17" thickBot="1" x14ac:dyDescent="0.2">
      <c r="A38" s="1737" t="s">
        <v>351</v>
      </c>
      <c r="B38" s="1738"/>
      <c r="C38" s="1738"/>
      <c r="D38" s="1738"/>
      <c r="E38" s="1738"/>
      <c r="F38" s="1738"/>
      <c r="G38" s="1738"/>
      <c r="H38" s="1738"/>
      <c r="I38" s="1739"/>
    </row>
    <row r="39" spans="1:9" s="275" customFormat="1" ht="33" customHeight="1" x14ac:dyDescent="0.15">
      <c r="A39" s="1715"/>
      <c r="B39" s="1716"/>
      <c r="C39" s="1716"/>
      <c r="D39" s="1716"/>
      <c r="E39" s="1716"/>
      <c r="F39" s="1716"/>
      <c r="G39" s="1717"/>
      <c r="H39" s="800" t="s">
        <v>138</v>
      </c>
      <c r="I39" s="794" t="s">
        <v>398</v>
      </c>
    </row>
    <row r="40" spans="1:9" s="275" customFormat="1" ht="15" thickBot="1" x14ac:dyDescent="0.2">
      <c r="A40" s="1741"/>
      <c r="B40" s="1742"/>
      <c r="C40" s="1742"/>
      <c r="D40" s="1742"/>
      <c r="E40" s="1742"/>
      <c r="F40" s="1742"/>
      <c r="G40" s="1743"/>
      <c r="H40" s="685">
        <v>40999</v>
      </c>
      <c r="I40" s="805" t="str">
        <f>'Løntabel gældende fra'!D1</f>
        <v>01/04/2018</v>
      </c>
    </row>
    <row r="41" spans="1:9" s="275" customFormat="1" ht="15" thickBot="1" x14ac:dyDescent="0.2">
      <c r="A41" s="1217" t="s">
        <v>325</v>
      </c>
      <c r="B41" s="1218"/>
      <c r="C41" s="1218"/>
      <c r="D41" s="1218"/>
      <c r="E41" s="1218"/>
      <c r="F41" s="696"/>
      <c r="G41" s="697"/>
      <c r="H41" s="191">
        <v>655</v>
      </c>
      <c r="I41" s="632">
        <f>H41+(H41*'Løntabel gældende fra'!D7%)</f>
        <v>700.64236500000004</v>
      </c>
    </row>
    <row r="42" spans="1:9" s="275" customFormat="1" ht="14" x14ac:dyDescent="0.15">
      <c r="A42" s="265"/>
      <c r="B42" s="265"/>
      <c r="C42" s="265"/>
      <c r="D42" s="265"/>
      <c r="E42" s="265"/>
      <c r="F42" s="266"/>
      <c r="G42" s="265"/>
      <c r="H42" s="266"/>
      <c r="I42" s="265"/>
    </row>
    <row r="43" spans="1:9" s="275" customFormat="1" ht="15" thickBot="1" x14ac:dyDescent="0.2">
      <c r="A43" s="265"/>
      <c r="B43" s="265"/>
      <c r="C43" s="265"/>
      <c r="D43" s="265"/>
      <c r="E43" s="265"/>
      <c r="F43" s="266"/>
      <c r="G43" s="265"/>
      <c r="H43" s="266"/>
      <c r="I43" s="265"/>
    </row>
    <row r="44" spans="1:9" s="275" customFormat="1" ht="18" x14ac:dyDescent="0.15">
      <c r="A44" s="1076" t="s">
        <v>375</v>
      </c>
      <c r="B44" s="1077"/>
      <c r="C44" s="1077"/>
      <c r="D44" s="1077"/>
      <c r="E44" s="1077"/>
      <c r="F44" s="1077"/>
      <c r="G44" s="1077"/>
      <c r="H44" s="1077"/>
      <c r="I44" s="1078"/>
    </row>
    <row r="45" spans="1:9" s="275" customFormat="1" ht="17" thickBot="1" x14ac:dyDescent="0.2">
      <c r="A45" s="1737" t="s">
        <v>345</v>
      </c>
      <c r="B45" s="1738"/>
      <c r="C45" s="1738"/>
      <c r="D45" s="1738"/>
      <c r="E45" s="1738"/>
      <c r="F45" s="1738"/>
      <c r="G45" s="1738"/>
      <c r="H45" s="1738"/>
      <c r="I45" s="1739"/>
    </row>
    <row r="46" spans="1:9" s="275" customFormat="1" ht="28" x14ac:dyDescent="0.15">
      <c r="A46" s="1214"/>
      <c r="B46" s="1215"/>
      <c r="C46" s="1215"/>
      <c r="D46" s="1215"/>
      <c r="E46" s="1215"/>
      <c r="F46" s="1215"/>
      <c r="G46" s="1216"/>
      <c r="H46" s="800" t="s">
        <v>138</v>
      </c>
      <c r="I46" s="794" t="s">
        <v>398</v>
      </c>
    </row>
    <row r="47" spans="1:9" s="275" customFormat="1" ht="15" thickBot="1" x14ac:dyDescent="0.2">
      <c r="A47" s="1217"/>
      <c r="B47" s="1218"/>
      <c r="C47" s="1218"/>
      <c r="D47" s="1218"/>
      <c r="E47" s="1218"/>
      <c r="F47" s="1218"/>
      <c r="G47" s="1219"/>
      <c r="H47" s="685">
        <v>40999</v>
      </c>
      <c r="I47" s="805" t="str">
        <f>'Løntabel gældende fra'!D1</f>
        <v>01/04/2018</v>
      </c>
    </row>
    <row r="48" spans="1:9" s="275" customFormat="1" ht="15" thickBot="1" x14ac:dyDescent="0.2">
      <c r="A48" s="1217" t="s">
        <v>197</v>
      </c>
      <c r="B48" s="1218"/>
      <c r="C48" s="1218"/>
      <c r="D48" s="1218"/>
      <c r="E48" s="1218"/>
      <c r="F48" s="696"/>
      <c r="G48" s="697"/>
      <c r="H48" s="191">
        <v>10500</v>
      </c>
      <c r="I48" s="632">
        <f>H48+(H48*'Løntabel gældende fra'!D7%)</f>
        <v>11231.6715</v>
      </c>
    </row>
    <row r="49" spans="1:10" s="275" customFormat="1" ht="14" x14ac:dyDescent="0.15"/>
    <row r="50" spans="1:10" s="275" customFormat="1" ht="15" thickBot="1" x14ac:dyDescent="0.2"/>
    <row r="51" spans="1:10" s="275" customFormat="1" ht="18" x14ac:dyDescent="0.15">
      <c r="A51" s="1076" t="s">
        <v>374</v>
      </c>
      <c r="B51" s="1077"/>
      <c r="C51" s="1077"/>
      <c r="D51" s="1077"/>
      <c r="E51" s="1077"/>
      <c r="F51" s="1077"/>
      <c r="G51" s="1077"/>
      <c r="H51" s="1077"/>
      <c r="I51" s="1078"/>
    </row>
    <row r="52" spans="1:10" s="275" customFormat="1" ht="17" thickBot="1" x14ac:dyDescent="0.2">
      <c r="A52" s="1167" t="s">
        <v>345</v>
      </c>
      <c r="B52" s="1168"/>
      <c r="C52" s="1168"/>
      <c r="D52" s="1168"/>
      <c r="E52" s="1168"/>
      <c r="F52" s="1168"/>
      <c r="G52" s="1168"/>
      <c r="H52" s="1168"/>
      <c r="I52" s="1169"/>
    </row>
    <row r="53" spans="1:10" s="275" customFormat="1" ht="14" x14ac:dyDescent="0.15">
      <c r="A53" s="1707" t="s">
        <v>468</v>
      </c>
      <c r="B53" s="1708"/>
      <c r="C53" s="1708"/>
      <c r="D53" s="1708"/>
      <c r="E53" s="1708"/>
      <c r="F53" s="1708"/>
      <c r="G53" s="1727"/>
      <c r="H53" s="691" t="s">
        <v>100</v>
      </c>
      <c r="I53" s="693" t="s">
        <v>105</v>
      </c>
    </row>
    <row r="54" spans="1:10" s="275" customFormat="1" ht="15" thickBot="1" x14ac:dyDescent="0.2">
      <c r="A54" s="1652"/>
      <c r="B54" s="1653"/>
      <c r="C54" s="1653"/>
      <c r="D54" s="1653"/>
      <c r="E54" s="1653"/>
      <c r="F54" s="1653"/>
      <c r="G54" s="1654"/>
      <c r="H54" s="694">
        <v>40999</v>
      </c>
      <c r="I54" s="805" t="str">
        <f>'Løntabel gældende fra'!D1</f>
        <v>01/04/2018</v>
      </c>
    </row>
    <row r="55" spans="1:10" s="275" customFormat="1" ht="15" thickBot="1" x14ac:dyDescent="0.2">
      <c r="A55" s="1655" t="s">
        <v>333</v>
      </c>
      <c r="B55" s="1656"/>
      <c r="C55" s="1656"/>
      <c r="D55" s="1656"/>
      <c r="E55" s="1656"/>
      <c r="F55" s="271"/>
      <c r="G55" s="282"/>
      <c r="H55" s="341">
        <v>0</v>
      </c>
      <c r="I55" s="334">
        <v>0</v>
      </c>
    </row>
    <row r="56" spans="1:10" s="275" customFormat="1" ht="14" x14ac:dyDescent="0.15"/>
    <row r="57" spans="1:10" s="275" customFormat="1" ht="14" x14ac:dyDescent="0.15">
      <c r="A57" s="1740"/>
      <c r="B57" s="1740"/>
      <c r="C57" s="1740"/>
      <c r="D57" s="1740"/>
      <c r="E57" s="1740"/>
      <c r="F57" s="1740"/>
      <c r="G57" s="1740"/>
      <c r="H57" s="1740"/>
      <c r="I57" s="1740"/>
      <c r="J57" s="1740"/>
    </row>
    <row r="58" spans="1:10" s="275" customFormat="1" ht="14" x14ac:dyDescent="0.15">
      <c r="A58" s="633"/>
    </row>
    <row r="59" spans="1:10" s="275" customFormat="1" ht="14" x14ac:dyDescent="0.15"/>
    <row r="60" spans="1:10" s="275" customFormat="1" ht="14" x14ac:dyDescent="0.15"/>
    <row r="61" spans="1:10" s="275" customFormat="1" ht="14" x14ac:dyDescent="0.15"/>
    <row r="62" spans="1:10" s="275" customFormat="1" ht="14" x14ac:dyDescent="0.15"/>
    <row r="72" s="275" customFormat="1" ht="14" x14ac:dyDescent="0.15"/>
    <row r="73" s="275" customFormat="1" ht="14" x14ac:dyDescent="0.15"/>
    <row r="74" s="275" customFormat="1" ht="14" x14ac:dyDescent="0.15"/>
    <row r="75" s="275" customFormat="1" ht="14" x14ac:dyDescent="0.15"/>
    <row r="76" s="275" customFormat="1" ht="14" x14ac:dyDescent="0.15"/>
    <row r="77" s="275" customFormat="1" ht="14" x14ac:dyDescent="0.15"/>
    <row r="78" s="275" customFormat="1" ht="14" x14ac:dyDescent="0.15"/>
    <row r="79" s="275" customFormat="1" ht="14" x14ac:dyDescent="0.15"/>
    <row r="80" s="275" customFormat="1" ht="14" x14ac:dyDescent="0.15"/>
    <row r="81" s="275" customFormat="1" ht="14" x14ac:dyDescent="0.15"/>
    <row r="82" s="275" customFormat="1" ht="14" x14ac:dyDescent="0.15"/>
    <row r="83" s="275" customFormat="1" ht="14" x14ac:dyDescent="0.15"/>
    <row r="84" s="275" customFormat="1" ht="14" x14ac:dyDescent="0.15"/>
    <row r="85" s="275" customFormat="1" ht="14" x14ac:dyDescent="0.15"/>
    <row r="86" s="275" customFormat="1" ht="14" x14ac:dyDescent="0.15"/>
    <row r="87" s="275" customFormat="1" ht="14" x14ac:dyDescent="0.15"/>
    <row r="88" s="275" customFormat="1" ht="14" x14ac:dyDescent="0.15"/>
    <row r="89" s="275" customFormat="1" ht="14" x14ac:dyDescent="0.15"/>
    <row r="90" s="275" customFormat="1" ht="14" x14ac:dyDescent="0.15"/>
    <row r="91" s="275" customFormat="1" ht="14" x14ac:dyDescent="0.15"/>
    <row r="92" s="275" customFormat="1" ht="14" x14ac:dyDescent="0.15"/>
    <row r="93" s="275" customFormat="1" ht="14" x14ac:dyDescent="0.15"/>
    <row r="94" s="275" customFormat="1" ht="14" x14ac:dyDescent="0.15"/>
    <row r="95" s="275" customFormat="1" ht="14" x14ac:dyDescent="0.15"/>
    <row r="96" s="275" customFormat="1" ht="14" x14ac:dyDescent="0.15"/>
    <row r="97" s="275" customFormat="1" ht="14" x14ac:dyDescent="0.15"/>
    <row r="98" s="275" customFormat="1" ht="14" x14ac:dyDescent="0.15"/>
    <row r="99" s="275" customFormat="1" ht="14" x14ac:dyDescent="0.15"/>
    <row r="100" s="275" customFormat="1" ht="14" x14ac:dyDescent="0.15"/>
    <row r="101" s="275" customFormat="1" ht="14" x14ac:dyDescent="0.15"/>
    <row r="102" s="275" customFormat="1" ht="14" x14ac:dyDescent="0.15"/>
    <row r="103" s="275" customFormat="1" ht="14" x14ac:dyDescent="0.15"/>
    <row r="104" s="275" customFormat="1" ht="14" x14ac:dyDescent="0.15"/>
    <row r="105" s="275" customFormat="1" ht="14" x14ac:dyDescent="0.15"/>
    <row r="106" s="275" customFormat="1" ht="14" x14ac:dyDescent="0.15"/>
    <row r="107" s="275" customFormat="1" ht="14" x14ac:dyDescent="0.15"/>
    <row r="108" s="275" customFormat="1" ht="14" x14ac:dyDescent="0.15"/>
    <row r="109" s="275" customFormat="1" ht="14" x14ac:dyDescent="0.15"/>
    <row r="110" s="275" customFormat="1" ht="14" x14ac:dyDescent="0.15"/>
    <row r="111" s="275" customFormat="1" ht="14" x14ac:dyDescent="0.15"/>
    <row r="112" s="275" customFormat="1" ht="14" x14ac:dyDescent="0.15"/>
    <row r="113" s="275" customFormat="1" ht="14" x14ac:dyDescent="0.15"/>
    <row r="114" s="275" customFormat="1" ht="14" x14ac:dyDescent="0.15"/>
    <row r="115" s="275" customFormat="1" ht="14" x14ac:dyDescent="0.15"/>
    <row r="116" s="275" customFormat="1" ht="14" x14ac:dyDescent="0.15"/>
    <row r="117" s="275" customFormat="1" ht="14" x14ac:dyDescent="0.15"/>
    <row r="118" s="275" customFormat="1" ht="14" x14ac:dyDescent="0.15"/>
    <row r="119" s="275" customFormat="1" ht="14" x14ac:dyDescent="0.15"/>
    <row r="120" s="275" customFormat="1" ht="14" x14ac:dyDescent="0.15"/>
    <row r="121" s="275" customFormat="1" ht="14" x14ac:dyDescent="0.15"/>
    <row r="122" s="275" customFormat="1" ht="14" x14ac:dyDescent="0.15"/>
    <row r="123" s="275" customFormat="1" ht="14" x14ac:dyDescent="0.15"/>
    <row r="124" s="275" customFormat="1" ht="14" x14ac:dyDescent="0.15"/>
    <row r="125" s="275" customFormat="1" ht="14" x14ac:dyDescent="0.15"/>
    <row r="126" s="275" customFormat="1" ht="14" x14ac:dyDescent="0.15"/>
    <row r="127" s="275" customFormat="1" ht="14" x14ac:dyDescent="0.15"/>
    <row r="128" s="275" customFormat="1" ht="14" x14ac:dyDescent="0.15"/>
    <row r="129" s="275" customFormat="1" ht="14" x14ac:dyDescent="0.15"/>
    <row r="130" s="275" customFormat="1" ht="14" x14ac:dyDescent="0.15"/>
    <row r="131" s="275" customFormat="1" ht="14" x14ac:dyDescent="0.15"/>
    <row r="132" s="275" customFormat="1" ht="14" x14ac:dyDescent="0.15"/>
    <row r="133" s="275" customFormat="1" ht="14" x14ac:dyDescent="0.15"/>
    <row r="134" s="275" customFormat="1" ht="14" x14ac:dyDescent="0.15"/>
    <row r="135" s="275" customFormat="1" ht="14" x14ac:dyDescent="0.15"/>
    <row r="136" s="275" customFormat="1" ht="14" x14ac:dyDescent="0.15"/>
    <row r="137" s="275" customFormat="1" ht="14" x14ac:dyDescent="0.15"/>
    <row r="138" s="275" customFormat="1" ht="14" x14ac:dyDescent="0.15"/>
    <row r="139" s="275" customFormat="1" ht="14" x14ac:dyDescent="0.15"/>
    <row r="140" s="275" customFormat="1" ht="14" x14ac:dyDescent="0.15"/>
    <row r="141" s="275" customFormat="1" ht="14" x14ac:dyDescent="0.15"/>
    <row r="142" s="275" customFormat="1" ht="14" x14ac:dyDescent="0.15"/>
    <row r="143" s="275" customFormat="1" ht="14" x14ac:dyDescent="0.15"/>
    <row r="144" s="275" customFormat="1" ht="14" x14ac:dyDescent="0.15"/>
    <row r="145" s="275" customFormat="1" ht="14" x14ac:dyDescent="0.15"/>
    <row r="146" s="275" customFormat="1" ht="14" x14ac:dyDescent="0.15"/>
    <row r="147" s="275" customFormat="1" ht="14" x14ac:dyDescent="0.15"/>
    <row r="148" s="275" customFormat="1" ht="14" x14ac:dyDescent="0.15"/>
    <row r="149" s="275" customFormat="1" ht="14" x14ac:dyDescent="0.15"/>
    <row r="150" s="275" customFormat="1" ht="14" x14ac:dyDescent="0.15"/>
    <row r="151" s="275" customFormat="1" ht="14" x14ac:dyDescent="0.15"/>
    <row r="152" s="275" customFormat="1" ht="14" x14ac:dyDescent="0.15"/>
    <row r="153" s="275" customFormat="1" ht="14" x14ac:dyDescent="0.15"/>
  </sheetData>
  <sheetProtection sheet="1" objects="1" scenarios="1"/>
  <mergeCells count="35"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  <mergeCell ref="G8:H8"/>
    <mergeCell ref="G9:H9"/>
    <mergeCell ref="G10:H10"/>
    <mergeCell ref="G11:H11"/>
    <mergeCell ref="A1:I1"/>
    <mergeCell ref="A2:I2"/>
    <mergeCell ref="A3:I3"/>
    <mergeCell ref="A4:I4"/>
    <mergeCell ref="A7:F7"/>
    <mergeCell ref="G7:I7"/>
  </mergeCells>
  <phoneticPr fontId="6" type="noConversion"/>
  <pageMargins left="0.71" right="0.71" top="0.75" bottom="0.75" header="0.31" footer="0.31"/>
  <pageSetup paperSize="9" scale="64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7"/>
  <sheetViews>
    <sheetView view="pageBreakPreview" workbookViewId="0">
      <selection activeCell="E23" sqref="E23"/>
    </sheetView>
  </sheetViews>
  <sheetFormatPr baseColWidth="10" defaultColWidth="8.83203125" defaultRowHeight="13" x14ac:dyDescent="0.15"/>
  <cols>
    <col min="1" max="1" width="13.33203125" style="245" customWidth="1"/>
    <col min="2" max="2" width="17.33203125" style="245" customWidth="1"/>
    <col min="3" max="3" width="16.33203125" style="245" customWidth="1"/>
    <col min="4" max="4" width="16.1640625" style="246" customWidth="1"/>
    <col min="5" max="5" width="17.33203125" style="245" customWidth="1"/>
    <col min="6" max="6" width="16.33203125" style="247" customWidth="1"/>
    <col min="7" max="7" width="0.33203125" style="247" customWidth="1"/>
    <col min="8" max="8" width="10.6640625" style="245" customWidth="1"/>
    <col min="9" max="16384" width="8.83203125" style="245"/>
  </cols>
  <sheetData>
    <row r="1" spans="1:9" s="2" customFormat="1" ht="22" customHeight="1" x14ac:dyDescent="0.2">
      <c r="A1" s="1118" t="s">
        <v>20</v>
      </c>
      <c r="B1" s="1119"/>
      <c r="C1" s="1119"/>
      <c r="D1" s="1119"/>
      <c r="E1" s="1119"/>
      <c r="F1" s="1119"/>
      <c r="G1" s="1120"/>
      <c r="H1" s="479"/>
      <c r="I1" s="42"/>
    </row>
    <row r="2" spans="1:9" s="2" customFormat="1" ht="22" customHeight="1" x14ac:dyDescent="0.2">
      <c r="A2" s="1133" t="s">
        <v>377</v>
      </c>
      <c r="B2" s="1134"/>
      <c r="C2" s="1134"/>
      <c r="D2" s="1134"/>
      <c r="E2" s="1134"/>
      <c r="F2" s="1134"/>
      <c r="G2" s="663"/>
      <c r="H2" s="479"/>
      <c r="I2" s="42"/>
    </row>
    <row r="3" spans="1:9" s="699" customFormat="1" ht="25" customHeight="1" x14ac:dyDescent="0.2">
      <c r="A3" s="1133" t="str">
        <f>'Forside 1'!A6:I6</f>
        <v>Gældende fra 1. april 2018</v>
      </c>
      <c r="B3" s="1134"/>
      <c r="C3" s="1134"/>
      <c r="D3" s="1134"/>
      <c r="E3" s="1134"/>
      <c r="F3" s="1134"/>
      <c r="G3" s="1135"/>
      <c r="H3" s="698"/>
    </row>
    <row r="4" spans="1:9" s="2" customFormat="1" ht="35" customHeight="1" thickBot="1" x14ac:dyDescent="0.25">
      <c r="A4" s="1751" t="s">
        <v>378</v>
      </c>
      <c r="B4" s="1752"/>
      <c r="C4" s="1752"/>
      <c r="D4" s="1752"/>
      <c r="E4" s="1752"/>
      <c r="F4" s="1752"/>
      <c r="G4" s="1753"/>
      <c r="H4" s="479"/>
    </row>
    <row r="5" spans="1:9" ht="21" thickBot="1" x14ac:dyDescent="0.25">
      <c r="A5" s="1688"/>
      <c r="B5" s="1688"/>
      <c r="C5" s="1688"/>
      <c r="D5" s="1688"/>
      <c r="E5" s="1688"/>
      <c r="F5" s="1688"/>
      <c r="G5" s="1688"/>
    </row>
    <row r="6" spans="1:9" ht="19" customHeight="1" x14ac:dyDescent="0.15">
      <c r="A6" s="1076" t="s">
        <v>380</v>
      </c>
      <c r="B6" s="1077"/>
      <c r="C6" s="1077"/>
      <c r="D6" s="1077"/>
      <c r="E6" s="1077"/>
      <c r="F6" s="1078"/>
      <c r="G6" s="543"/>
    </row>
    <row r="7" spans="1:9" ht="19" customHeight="1" thickBot="1" x14ac:dyDescent="0.2">
      <c r="A7" s="1755" t="s">
        <v>379</v>
      </c>
      <c r="B7" s="1756"/>
      <c r="C7" s="1756"/>
      <c r="D7" s="1756"/>
      <c r="E7" s="1756"/>
      <c r="F7" s="1757"/>
      <c r="G7" s="543"/>
    </row>
    <row r="8" spans="1:9" ht="34" customHeight="1" x14ac:dyDescent="0.2">
      <c r="A8" s="1749" t="s">
        <v>148</v>
      </c>
      <c r="B8" s="1749" t="s">
        <v>96</v>
      </c>
      <c r="C8" s="735" t="s">
        <v>138</v>
      </c>
      <c r="D8" s="796" t="s">
        <v>398</v>
      </c>
      <c r="E8" s="796" t="s">
        <v>303</v>
      </c>
      <c r="F8" s="803" t="s">
        <v>149</v>
      </c>
    </row>
    <row r="9" spans="1:9" ht="16" customHeight="1" thickBot="1" x14ac:dyDescent="0.25">
      <c r="A9" s="1750"/>
      <c r="B9" s="1750"/>
      <c r="C9" s="736">
        <v>40999</v>
      </c>
      <c r="D9" s="806" t="str">
        <f>'Løntabel gældende fra'!D1</f>
        <v>01/04/2018</v>
      </c>
      <c r="E9" s="806" t="str">
        <f>'Løntabel gældende fra'!D1</f>
        <v>01/04/2018</v>
      </c>
      <c r="F9" s="806" t="str">
        <f>'Løntabel gældende fra'!D1</f>
        <v>01/04/2018</v>
      </c>
    </row>
    <row r="10" spans="1:9" ht="15" customHeight="1" x14ac:dyDescent="0.2">
      <c r="A10" s="700">
        <v>1</v>
      </c>
      <c r="B10" s="700" t="s">
        <v>151</v>
      </c>
      <c r="C10" s="701">
        <f>12*22670</f>
        <v>272040</v>
      </c>
      <c r="D10" s="702">
        <f>C10+(C10*'Løntabel gældende fra'!$D$7%)</f>
        <v>290996.56332000002</v>
      </c>
      <c r="E10" s="703">
        <f>D10/12</f>
        <v>24249.713610000003</v>
      </c>
      <c r="F10" s="704">
        <f>(E10*12)/1924*1</f>
        <v>151.24561503118503</v>
      </c>
    </row>
    <row r="11" spans="1:9" ht="15" customHeight="1" x14ac:dyDescent="0.2">
      <c r="A11" s="713">
        <v>2</v>
      </c>
      <c r="B11" s="713" t="s">
        <v>159</v>
      </c>
      <c r="C11" s="714">
        <f>25300*12</f>
        <v>303600</v>
      </c>
      <c r="D11" s="702">
        <f>C11+(C11*'Løntabel gældende fra'!$D$7%)</f>
        <v>324755.75880000001</v>
      </c>
      <c r="E11" s="715">
        <f>D11/12</f>
        <v>27062.979900000002</v>
      </c>
      <c r="F11" s="704">
        <f>(E11*12)/1924*1</f>
        <v>168.79197442827444</v>
      </c>
    </row>
    <row r="12" spans="1:9" ht="15" customHeight="1" x14ac:dyDescent="0.2">
      <c r="A12" s="716">
        <v>3</v>
      </c>
      <c r="B12" s="716" t="s">
        <v>152</v>
      </c>
      <c r="C12" s="717">
        <f>27920*12</f>
        <v>335040</v>
      </c>
      <c r="D12" s="702">
        <f>C12+(C12*'Løntabel gældende fra'!$D$7%)</f>
        <v>358386.59232</v>
      </c>
      <c r="E12" s="715">
        <f>D12/12</f>
        <v>29865.549360000001</v>
      </c>
      <c r="F12" s="704">
        <f>(E12*12)/1924*1</f>
        <v>186.27161762993762</v>
      </c>
    </row>
    <row r="13" spans="1:9" ht="15" customHeight="1" thickBot="1" x14ac:dyDescent="0.25">
      <c r="A13" s="718">
        <v>4</v>
      </c>
      <c r="B13" s="718" t="s">
        <v>160</v>
      </c>
      <c r="C13" s="719">
        <f>29400*12</f>
        <v>352800</v>
      </c>
      <c r="D13" s="710">
        <f>C13+(C13*'Løntabel gældende fra'!$D$7%)</f>
        <v>377384.16239999997</v>
      </c>
      <c r="E13" s="711">
        <f>D13/12</f>
        <v>31448.680199999999</v>
      </c>
      <c r="F13" s="712">
        <f>(E13*12)/1924*1</f>
        <v>196.14561455301452</v>
      </c>
    </row>
    <row r="14" spans="1:9" ht="14" thickBot="1" x14ac:dyDescent="0.2"/>
    <row r="15" spans="1:9" ht="30" customHeight="1" thickBot="1" x14ac:dyDescent="0.2">
      <c r="A15" s="1099" t="s">
        <v>162</v>
      </c>
      <c r="B15" s="1100"/>
      <c r="C15" s="1100"/>
      <c r="D15" s="1100"/>
      <c r="E15" s="1110"/>
      <c r="F15" s="237"/>
    </row>
    <row r="16" spans="1:9" ht="32" customHeight="1" x14ac:dyDescent="0.2">
      <c r="A16" s="1749" t="s">
        <v>148</v>
      </c>
      <c r="B16" s="735" t="s">
        <v>138</v>
      </c>
      <c r="C16" s="796" t="s">
        <v>398</v>
      </c>
      <c r="D16" s="796" t="s">
        <v>303</v>
      </c>
      <c r="E16" s="803" t="s">
        <v>149</v>
      </c>
      <c r="F16" s="43"/>
    </row>
    <row r="17" spans="1:8" ht="16" customHeight="1" thickBot="1" x14ac:dyDescent="0.25">
      <c r="A17" s="1750"/>
      <c r="B17" s="736">
        <v>40999</v>
      </c>
      <c r="C17" s="806" t="str">
        <f>'Løntabel gældende fra'!D1</f>
        <v>01/04/2018</v>
      </c>
      <c r="D17" s="806" t="str">
        <f>'Løntabel gældende fra'!D1</f>
        <v>01/04/2018</v>
      </c>
      <c r="E17" s="806" t="str">
        <f>'Løntabel gældende fra'!D1</f>
        <v>01/04/2018</v>
      </c>
      <c r="F17" s="43"/>
    </row>
    <row r="18" spans="1:8" s="707" customFormat="1" ht="15" customHeight="1" x14ac:dyDescent="0.2">
      <c r="A18" s="700" t="s">
        <v>153</v>
      </c>
      <c r="B18" s="701">
        <f>12*13140</f>
        <v>157680</v>
      </c>
      <c r="C18" s="702">
        <f>B18+(B18*'Løntabel gældende fra'!$D$7%)</f>
        <v>168667.61543999999</v>
      </c>
      <c r="D18" s="703">
        <f>C18/12</f>
        <v>14055.634619999999</v>
      </c>
      <c r="E18" s="704">
        <f>(D18*12)/1924*1</f>
        <v>87.665080790020781</v>
      </c>
      <c r="F18" s="705"/>
      <c r="G18" s="706"/>
    </row>
    <row r="19" spans="1:8" s="707" customFormat="1" ht="15" customHeight="1" thickBot="1" x14ac:dyDescent="0.25">
      <c r="A19" s="708" t="s">
        <v>154</v>
      </c>
      <c r="B19" s="709">
        <f>12*13800</f>
        <v>165600</v>
      </c>
      <c r="C19" s="710">
        <f>B19+(B19*'Løntabel gældende fra'!$D$7%)</f>
        <v>177139.5048</v>
      </c>
      <c r="D19" s="711">
        <f>C19/12</f>
        <v>14761.625399999999</v>
      </c>
      <c r="E19" s="712">
        <f>(D19*12)/1924*1</f>
        <v>92.068349688149681</v>
      </c>
      <c r="F19" s="705"/>
      <c r="G19" s="706"/>
    </row>
    <row r="20" spans="1:8" ht="14" thickBot="1" x14ac:dyDescent="0.2"/>
    <row r="21" spans="1:8" ht="30" customHeight="1" thickBot="1" x14ac:dyDescent="0.2">
      <c r="A21" s="1099" t="s">
        <v>163</v>
      </c>
      <c r="B21" s="1100"/>
      <c r="C21" s="1100"/>
      <c r="D21" s="1100"/>
      <c r="E21" s="1110"/>
    </row>
    <row r="22" spans="1:8" ht="30" customHeight="1" x14ac:dyDescent="0.2">
      <c r="A22" s="1749" t="s">
        <v>148</v>
      </c>
      <c r="B22" s="735" t="s">
        <v>138</v>
      </c>
      <c r="C22" s="796" t="s">
        <v>398</v>
      </c>
      <c r="D22" s="796" t="s">
        <v>303</v>
      </c>
      <c r="E22" s="803" t="s">
        <v>149</v>
      </c>
    </row>
    <row r="23" spans="1:8" ht="16" customHeight="1" thickBot="1" x14ac:dyDescent="0.25">
      <c r="A23" s="1750"/>
      <c r="B23" s="736">
        <v>40999</v>
      </c>
      <c r="C23" s="806" t="str">
        <f>'Løntabel gældende fra'!D1</f>
        <v>01/04/2018</v>
      </c>
      <c r="D23" s="806" t="str">
        <f>'Løntabel gældende fra'!D1</f>
        <v>01/04/2018</v>
      </c>
      <c r="E23" s="806" t="str">
        <f>'Løntabel gældende fra'!D1</f>
        <v>01/04/2018</v>
      </c>
    </row>
    <row r="24" spans="1:8" s="476" customFormat="1" ht="20" customHeight="1" thickBot="1" x14ac:dyDescent="0.25">
      <c r="A24" s="738" t="s">
        <v>153</v>
      </c>
      <c r="B24" s="739">
        <f>12*18700</f>
        <v>224400</v>
      </c>
      <c r="C24" s="740">
        <f>B24+(B24*'Løntabel gældende fra'!$D$7%)</f>
        <v>240036.8652</v>
      </c>
      <c r="D24" s="741">
        <f>C24/12</f>
        <v>20003.072100000001</v>
      </c>
      <c r="E24" s="712">
        <f>(D24*12)/1924*1</f>
        <v>124.75928544698544</v>
      </c>
      <c r="F24" s="246"/>
      <c r="G24" s="246"/>
    </row>
    <row r="25" spans="1:8" ht="19" thickBot="1" x14ac:dyDescent="0.2">
      <c r="A25" s="43"/>
      <c r="B25" s="300"/>
      <c r="C25" s="300"/>
      <c r="D25" s="300"/>
      <c r="E25" s="251"/>
      <c r="F25" s="477"/>
      <c r="G25" s="477"/>
      <c r="H25" s="237"/>
    </row>
    <row r="26" spans="1:8" ht="31" customHeight="1" thickBot="1" x14ac:dyDescent="0.2">
      <c r="A26" s="1099" t="s">
        <v>165</v>
      </c>
      <c r="B26" s="1100"/>
      <c r="C26" s="1100"/>
      <c r="D26" s="1100"/>
      <c r="E26" s="1110"/>
      <c r="F26" s="237"/>
      <c r="G26" s="237"/>
      <c r="H26" s="491"/>
    </row>
    <row r="27" spans="1:8" ht="45" customHeight="1" thickBot="1" x14ac:dyDescent="0.2">
      <c r="A27" s="1562" t="s">
        <v>148</v>
      </c>
      <c r="B27" s="1749" t="s">
        <v>401</v>
      </c>
      <c r="C27" s="729" t="s">
        <v>248</v>
      </c>
      <c r="D27" s="730">
        <v>0.17299999999999999</v>
      </c>
      <c r="E27" s="731"/>
      <c r="F27" s="487"/>
      <c r="G27" s="490"/>
      <c r="H27" s="492"/>
    </row>
    <row r="28" spans="1:8" ht="16" customHeight="1" thickBot="1" x14ac:dyDescent="0.25">
      <c r="A28" s="1754"/>
      <c r="B28" s="1750"/>
      <c r="C28" s="732" t="s">
        <v>22</v>
      </c>
      <c r="D28" s="733" t="s">
        <v>249</v>
      </c>
      <c r="E28" s="734" t="s">
        <v>23</v>
      </c>
      <c r="F28" s="1692"/>
      <c r="G28" s="1692"/>
      <c r="H28" s="292"/>
    </row>
    <row r="29" spans="1:8" s="707" customFormat="1" ht="15" customHeight="1" x14ac:dyDescent="0.2">
      <c r="A29" s="720">
        <v>1</v>
      </c>
      <c r="B29" s="721">
        <f>E10</f>
        <v>24249.713610000003</v>
      </c>
      <c r="C29" s="721">
        <f>E29*1/3</f>
        <v>1398.4001515100001</v>
      </c>
      <c r="D29" s="722">
        <f>E29*2/3</f>
        <v>2796.8003030200002</v>
      </c>
      <c r="E29" s="721">
        <f>B29*$D$27</f>
        <v>4195.2004545300006</v>
      </c>
      <c r="F29" s="723"/>
      <c r="G29" s="724"/>
      <c r="H29" s="725"/>
    </row>
    <row r="30" spans="1:8" s="707" customFormat="1" ht="15" customHeight="1" x14ac:dyDescent="0.2">
      <c r="A30" s="726">
        <v>2</v>
      </c>
      <c r="B30" s="727">
        <f>E11</f>
        <v>27062.979900000002</v>
      </c>
      <c r="C30" s="727">
        <f>E30*1/3</f>
        <v>1560.6318408999998</v>
      </c>
      <c r="D30" s="714">
        <f>E30*2/3</f>
        <v>3121.2636817999996</v>
      </c>
      <c r="E30" s="727">
        <f>B30*$D$27</f>
        <v>4681.8955226999997</v>
      </c>
      <c r="F30" s="723"/>
      <c r="G30" s="724"/>
      <c r="H30" s="725"/>
    </row>
    <row r="31" spans="1:8" s="707" customFormat="1" ht="15" customHeight="1" x14ac:dyDescent="0.2">
      <c r="A31" s="726">
        <v>3</v>
      </c>
      <c r="B31" s="727">
        <f>E12</f>
        <v>29865.549360000001</v>
      </c>
      <c r="C31" s="727">
        <f>E31*1/3</f>
        <v>1722.24667976</v>
      </c>
      <c r="D31" s="714">
        <f>E31*2/3</f>
        <v>3444.49335952</v>
      </c>
      <c r="E31" s="727">
        <f>B31*$D$27</f>
        <v>5166.74003928</v>
      </c>
      <c r="F31" s="723"/>
      <c r="G31" s="724"/>
      <c r="H31" s="725"/>
    </row>
    <row r="32" spans="1:8" s="707" customFormat="1" ht="15" customHeight="1" thickBot="1" x14ac:dyDescent="0.25">
      <c r="A32" s="728">
        <v>4</v>
      </c>
      <c r="B32" s="710">
        <f>E13</f>
        <v>31448.680199999999</v>
      </c>
      <c r="C32" s="710">
        <f>E32*1/3</f>
        <v>1813.5405581999996</v>
      </c>
      <c r="D32" s="709">
        <f>E32*2/3</f>
        <v>3627.0811163999992</v>
      </c>
      <c r="E32" s="710">
        <f>B32*$D$27</f>
        <v>5440.6216745999991</v>
      </c>
      <c r="F32" s="723"/>
      <c r="G32" s="724"/>
    </row>
    <row r="33" spans="1:8" ht="20" customHeight="1" thickBot="1" x14ac:dyDescent="0.2">
      <c r="A33" s="43"/>
      <c r="B33" s="256"/>
      <c r="C33" s="256"/>
      <c r="D33" s="256"/>
      <c r="E33" s="251"/>
      <c r="F33" s="246"/>
      <c r="G33" s="246"/>
    </row>
    <row r="34" spans="1:8" ht="29" customHeight="1" thickBot="1" x14ac:dyDescent="0.2">
      <c r="A34" s="1693" t="s">
        <v>326</v>
      </c>
      <c r="B34" s="1694"/>
      <c r="C34" s="1694"/>
      <c r="D34" s="1694"/>
      <c r="E34" s="1695"/>
      <c r="F34" s="126" t="s">
        <v>94</v>
      </c>
      <c r="G34" s="246"/>
    </row>
    <row r="35" spans="1:8" ht="15" customHeight="1" thickBot="1" x14ac:dyDescent="0.2">
      <c r="A35" s="1073" t="s">
        <v>164</v>
      </c>
      <c r="B35" s="1074"/>
      <c r="C35" s="1074"/>
      <c r="D35" s="1074"/>
      <c r="E35" s="1687"/>
      <c r="F35" s="532">
        <v>160</v>
      </c>
      <c r="G35" s="246"/>
    </row>
    <row r="36" spans="1:8" s="275" customFormat="1" ht="28" customHeight="1" x14ac:dyDescent="0.15">
      <c r="A36" s="637"/>
      <c r="B36" s="637"/>
      <c r="C36" s="637"/>
      <c r="D36" s="637"/>
      <c r="E36" s="637"/>
      <c r="F36" s="482"/>
      <c r="G36" s="246"/>
    </row>
    <row r="37" spans="1:8" s="275" customFormat="1" ht="30" customHeight="1" x14ac:dyDescent="0.15">
      <c r="A37" s="1689" t="s">
        <v>155</v>
      </c>
      <c r="B37" s="1689"/>
      <c r="C37" s="1689"/>
      <c r="D37" s="1689"/>
      <c r="E37" s="1689"/>
      <c r="F37" s="1689"/>
      <c r="G37" s="1689"/>
      <c r="H37" s="495"/>
    </row>
    <row r="38" spans="1:8" s="275" customFormat="1" ht="32.25" customHeight="1" x14ac:dyDescent="0.15">
      <c r="A38" s="1690" t="s">
        <v>156</v>
      </c>
      <c r="B38" s="1690"/>
      <c r="C38" s="1690"/>
      <c r="D38" s="1690"/>
      <c r="E38" s="1690"/>
      <c r="F38" s="1690"/>
      <c r="G38" s="1690"/>
    </row>
    <row r="39" spans="1:8" s="258" customFormat="1" ht="14" x14ac:dyDescent="0.15">
      <c r="A39" s="1691"/>
      <c r="B39" s="1691"/>
      <c r="C39" s="1691"/>
      <c r="D39" s="1691"/>
      <c r="E39" s="1691"/>
      <c r="F39" s="1691"/>
      <c r="G39" s="1691"/>
    </row>
    <row r="40" spans="1:8" s="258" customFormat="1" x14ac:dyDescent="0.15">
      <c r="A40" s="257"/>
      <c r="B40" s="257"/>
      <c r="D40" s="259"/>
      <c r="F40" s="260"/>
      <c r="G40" s="260"/>
    </row>
    <row r="41" spans="1:8" s="258" customFormat="1" x14ac:dyDescent="0.15">
      <c r="A41" s="261"/>
      <c r="B41" s="261"/>
      <c r="D41" s="259"/>
      <c r="F41" s="260"/>
      <c r="G41" s="260"/>
    </row>
    <row r="42" spans="1:8" s="258" customFormat="1" x14ac:dyDescent="0.15">
      <c r="A42" s="261"/>
      <c r="B42" s="261"/>
      <c r="C42" s="262"/>
      <c r="D42" s="259"/>
      <c r="F42" s="260"/>
      <c r="G42" s="260"/>
    </row>
    <row r="43" spans="1:8" s="258" customFormat="1" x14ac:dyDescent="0.15">
      <c r="C43" s="263"/>
      <c r="D43" s="259"/>
      <c r="F43" s="260"/>
      <c r="G43" s="260"/>
    </row>
    <row r="44" spans="1:8" s="258" customFormat="1" x14ac:dyDescent="0.15">
      <c r="C44" s="263"/>
      <c r="D44" s="259"/>
      <c r="F44" s="260"/>
      <c r="G44" s="260"/>
    </row>
    <row r="45" spans="1:8" s="258" customFormat="1" x14ac:dyDescent="0.15">
      <c r="C45" s="263"/>
      <c r="D45" s="259"/>
      <c r="F45" s="260"/>
      <c r="G45" s="260"/>
    </row>
    <row r="46" spans="1:8" s="258" customFormat="1" x14ac:dyDescent="0.15">
      <c r="C46" s="264"/>
      <c r="D46" s="259"/>
      <c r="F46" s="260"/>
      <c r="G46" s="260"/>
    </row>
    <row r="47" spans="1:8" x14ac:dyDescent="0.15">
      <c r="A47" s="258"/>
      <c r="B47" s="258"/>
      <c r="C47" s="258"/>
      <c r="D47" s="259"/>
      <c r="E47" s="258"/>
      <c r="F47" s="260"/>
      <c r="G47" s="260"/>
    </row>
  </sheetData>
  <sheetProtection sheet="1" objects="1" scenarios="1"/>
  <mergeCells count="22">
    <mergeCell ref="A1:G1"/>
    <mergeCell ref="A4:G4"/>
    <mergeCell ref="A35:E35"/>
    <mergeCell ref="B27:B28"/>
    <mergeCell ref="A26:E26"/>
    <mergeCell ref="A15:E15"/>
    <mergeCell ref="A21:E21"/>
    <mergeCell ref="A8:A9"/>
    <mergeCell ref="A16:A17"/>
    <mergeCell ref="A5:G5"/>
    <mergeCell ref="A27:A28"/>
    <mergeCell ref="A3:G3"/>
    <mergeCell ref="A2:F2"/>
    <mergeCell ref="A7:F7"/>
    <mergeCell ref="A6:F6"/>
    <mergeCell ref="A37:G37"/>
    <mergeCell ref="A38:G38"/>
    <mergeCell ref="A39:G39"/>
    <mergeCell ref="F28:G28"/>
    <mergeCell ref="B8:B9"/>
    <mergeCell ref="A34:E34"/>
    <mergeCell ref="A22:A23"/>
  </mergeCells>
  <phoneticPr fontId="6" type="noConversion"/>
  <pageMargins left="0.7" right="0.7" top="0.75" bottom="0.75" header="0.3" footer="0.3"/>
  <pageSetup paperSize="9" scale="84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67"/>
  <sheetViews>
    <sheetView zoomScale="125" zoomScaleNormal="125" zoomScalePageLayoutView="125" workbookViewId="0">
      <selection activeCell="D8" sqref="D8"/>
    </sheetView>
  </sheetViews>
  <sheetFormatPr baseColWidth="10" defaultColWidth="8.83203125" defaultRowHeight="13" x14ac:dyDescent="0.15"/>
  <cols>
    <col min="1" max="1" width="22.33203125" style="357" customWidth="1"/>
    <col min="2" max="2" width="10.6640625" style="357" customWidth="1"/>
    <col min="3" max="3" width="11" style="357" customWidth="1"/>
    <col min="4" max="4" width="10.33203125" style="357" customWidth="1"/>
    <col min="5" max="5" width="11.33203125" style="357" customWidth="1"/>
    <col min="6" max="6" width="10.6640625" style="357" customWidth="1"/>
    <col min="7" max="7" width="10.33203125" style="357" customWidth="1"/>
    <col min="8" max="8" width="11.1640625" style="357" customWidth="1"/>
    <col min="9" max="9" width="11" style="357" customWidth="1"/>
    <col min="10" max="10" width="10.83203125" style="357" customWidth="1"/>
    <col min="11" max="16384" width="8.83203125" style="357"/>
  </cols>
  <sheetData>
    <row r="1" spans="1:13" ht="20.25" customHeight="1" x14ac:dyDescent="0.2">
      <c r="A1" s="1785" t="s">
        <v>20</v>
      </c>
      <c r="B1" s="1786"/>
      <c r="C1" s="1786"/>
      <c r="D1" s="1786"/>
      <c r="E1" s="1786"/>
      <c r="F1" s="1786"/>
      <c r="G1" s="1786"/>
      <c r="H1" s="1786"/>
      <c r="I1" s="1786"/>
      <c r="J1" s="1787"/>
    </row>
    <row r="2" spans="1:13" ht="20" customHeight="1" x14ac:dyDescent="0.2">
      <c r="A2" s="1782" t="s">
        <v>237</v>
      </c>
      <c r="B2" s="1783"/>
      <c r="C2" s="1783"/>
      <c r="D2" s="1783"/>
      <c r="E2" s="1783"/>
      <c r="F2" s="1783"/>
      <c r="G2" s="1783"/>
      <c r="H2" s="1783"/>
      <c r="I2" s="1783"/>
      <c r="J2" s="1784"/>
    </row>
    <row r="3" spans="1:13" ht="19.5" customHeight="1" x14ac:dyDescent="0.2">
      <c r="A3" s="1788" t="s">
        <v>332</v>
      </c>
      <c r="B3" s="1789"/>
      <c r="C3" s="1789"/>
      <c r="D3" s="1789"/>
      <c r="E3" s="1789"/>
      <c r="F3" s="1789"/>
      <c r="G3" s="1789"/>
      <c r="H3" s="1789"/>
      <c r="I3" s="1789"/>
      <c r="J3" s="1790"/>
    </row>
    <row r="4" spans="1:13" ht="23" customHeight="1" thickBot="1" x14ac:dyDescent="0.2">
      <c r="A4" s="1734" t="s">
        <v>252</v>
      </c>
      <c r="B4" s="1735"/>
      <c r="C4" s="1735"/>
      <c r="D4" s="1735"/>
      <c r="E4" s="1735"/>
      <c r="F4" s="1735"/>
      <c r="G4" s="1735"/>
      <c r="H4" s="1735"/>
      <c r="I4" s="1735"/>
      <c r="J4" s="1736"/>
    </row>
    <row r="5" spans="1:13" ht="15" thickBot="1" x14ac:dyDescent="0.2">
      <c r="A5" s="265"/>
      <c r="B5" s="265"/>
      <c r="C5" s="265"/>
      <c r="D5" s="265"/>
      <c r="E5" s="344"/>
      <c r="F5" s="344"/>
      <c r="G5" s="344"/>
      <c r="H5" s="344"/>
    </row>
    <row r="6" spans="1:13" s="275" customFormat="1" ht="19" thickBot="1" x14ac:dyDescent="0.25">
      <c r="A6" s="1675" t="s">
        <v>15</v>
      </c>
      <c r="B6" s="1676"/>
      <c r="C6" s="1676"/>
      <c r="D6" s="1677"/>
      <c r="E6" s="1781"/>
      <c r="F6" s="1781"/>
      <c r="G6" s="1781"/>
      <c r="H6" s="1781"/>
    </row>
    <row r="7" spans="1:13" s="275" customFormat="1" ht="15" thickBot="1" x14ac:dyDescent="0.2">
      <c r="A7" s="742" t="s">
        <v>234</v>
      </c>
      <c r="B7" s="743">
        <v>42095</v>
      </c>
      <c r="C7" s="743">
        <v>42461</v>
      </c>
      <c r="D7" s="743">
        <v>42826</v>
      </c>
      <c r="E7" s="284"/>
      <c r="F7" s="284"/>
      <c r="G7" s="284"/>
      <c r="H7" s="358"/>
    </row>
    <row r="8" spans="1:13" s="275" customFormat="1" ht="14" customHeight="1" x14ac:dyDescent="0.15">
      <c r="A8" s="376" t="s">
        <v>212</v>
      </c>
      <c r="B8" s="579">
        <v>23583</v>
      </c>
      <c r="C8" s="579">
        <v>23960</v>
      </c>
      <c r="D8" s="579">
        <v>24631</v>
      </c>
      <c r="E8" s="345"/>
      <c r="F8" s="346"/>
      <c r="G8" s="347"/>
      <c r="H8" s="347"/>
      <c r="I8" s="278"/>
      <c r="J8" s="276"/>
    </row>
    <row r="9" spans="1:13" s="275" customFormat="1" ht="13.5" customHeight="1" x14ac:dyDescent="0.15">
      <c r="A9" s="376" t="s">
        <v>235</v>
      </c>
      <c r="B9" s="579">
        <v>20856</v>
      </c>
      <c r="C9" s="579">
        <v>21190</v>
      </c>
      <c r="D9" s="579">
        <v>21783</v>
      </c>
      <c r="E9" s="345"/>
      <c r="F9" s="346"/>
      <c r="G9" s="347"/>
      <c r="H9" s="347"/>
      <c r="I9" s="278"/>
      <c r="J9" s="276"/>
    </row>
    <row r="10" spans="1:13" s="275" customFormat="1" ht="15" customHeight="1" thickBot="1" x14ac:dyDescent="0.2">
      <c r="A10" s="377" t="s">
        <v>213</v>
      </c>
      <c r="B10" s="580">
        <v>20337</v>
      </c>
      <c r="C10" s="580">
        <v>20663</v>
      </c>
      <c r="D10" s="580">
        <v>21241</v>
      </c>
      <c r="E10" s="345"/>
      <c r="F10" s="346"/>
      <c r="G10" s="347"/>
      <c r="H10" s="347"/>
      <c r="I10" s="278"/>
      <c r="J10" s="276"/>
      <c r="M10" s="277"/>
    </row>
    <row r="11" spans="1:13" s="275" customFormat="1" ht="15" thickBot="1" x14ac:dyDescent="0.2">
      <c r="B11" s="276"/>
      <c r="C11" s="276"/>
      <c r="D11" s="276"/>
      <c r="E11" s="302"/>
      <c r="F11" s="302"/>
      <c r="G11" s="302"/>
      <c r="H11" s="302"/>
    </row>
    <row r="12" spans="1:13" s="275" customFormat="1" ht="19" thickBot="1" x14ac:dyDescent="0.25">
      <c r="A12" s="1675" t="s">
        <v>183</v>
      </c>
      <c r="B12" s="1676"/>
      <c r="C12" s="1676"/>
      <c r="D12" s="1677"/>
    </row>
    <row r="13" spans="1:13" s="275" customFormat="1" ht="15" customHeight="1" thickBot="1" x14ac:dyDescent="0.2">
      <c r="A13" s="1758" t="s">
        <v>184</v>
      </c>
      <c r="B13" s="1759"/>
      <c r="C13" s="1759"/>
      <c r="D13" s="1760"/>
    </row>
    <row r="14" spans="1:13" s="275" customFormat="1" ht="16" customHeight="1" thickBot="1" x14ac:dyDescent="0.2">
      <c r="A14" s="378" t="s">
        <v>205</v>
      </c>
      <c r="B14" s="374">
        <v>42095</v>
      </c>
      <c r="C14" s="373">
        <v>42461</v>
      </c>
      <c r="D14" s="375">
        <v>42826</v>
      </c>
    </row>
    <row r="15" spans="1:13" s="275" customFormat="1" ht="16" customHeight="1" thickBot="1" x14ac:dyDescent="0.2">
      <c r="A15" s="379" t="s">
        <v>206</v>
      </c>
      <c r="B15" s="576">
        <v>114</v>
      </c>
      <c r="C15" s="577">
        <v>115.75</v>
      </c>
      <c r="D15" s="578">
        <v>119</v>
      </c>
      <c r="F15" s="276"/>
      <c r="G15" s="276"/>
      <c r="H15" s="276"/>
      <c r="I15" s="276"/>
      <c r="J15" s="276"/>
    </row>
    <row r="16" spans="1:13" s="275" customFormat="1" ht="16" customHeight="1" thickBot="1" x14ac:dyDescent="0.2">
      <c r="A16" s="284"/>
      <c r="B16" s="343"/>
      <c r="C16" s="343"/>
      <c r="D16" s="343"/>
      <c r="F16" s="276"/>
      <c r="G16" s="276"/>
      <c r="H16" s="276"/>
      <c r="I16" s="276"/>
      <c r="J16" s="276"/>
    </row>
    <row r="17" spans="1:10" s="275" customFormat="1" ht="16" customHeight="1" thickBot="1" x14ac:dyDescent="0.25">
      <c r="A17" s="1675" t="s">
        <v>210</v>
      </c>
      <c r="B17" s="1676"/>
      <c r="C17" s="1676"/>
      <c r="D17" s="1676"/>
      <c r="E17" s="1677"/>
      <c r="F17" s="276"/>
      <c r="G17" s="276"/>
      <c r="H17" s="276"/>
      <c r="I17" s="276"/>
      <c r="J17" s="276"/>
    </row>
    <row r="18" spans="1:10" s="275" customFormat="1" ht="16" customHeight="1" thickBot="1" x14ac:dyDescent="0.2">
      <c r="A18" s="380" t="s">
        <v>211</v>
      </c>
      <c r="B18" s="381"/>
      <c r="C18" s="382">
        <v>42095</v>
      </c>
      <c r="D18" s="383">
        <v>42461</v>
      </c>
      <c r="E18" s="384">
        <v>42826</v>
      </c>
      <c r="F18" s="276"/>
      <c r="G18" s="276"/>
      <c r="H18" s="276"/>
      <c r="I18" s="276"/>
      <c r="J18" s="276"/>
    </row>
    <row r="19" spans="1:10" s="275" customFormat="1" ht="16" customHeight="1" x14ac:dyDescent="0.15">
      <c r="A19" s="385" t="s">
        <v>207</v>
      </c>
      <c r="B19" s="386"/>
      <c r="C19" s="568">
        <v>61.25</v>
      </c>
      <c r="D19" s="569">
        <v>62.25</v>
      </c>
      <c r="E19" s="570">
        <v>64</v>
      </c>
      <c r="F19" s="276"/>
      <c r="G19" s="276"/>
      <c r="H19" s="276"/>
      <c r="I19" s="276"/>
      <c r="J19" s="276"/>
    </row>
    <row r="20" spans="1:10" s="275" customFormat="1" ht="16" customHeight="1" x14ac:dyDescent="0.15">
      <c r="A20" s="387" t="s">
        <v>208</v>
      </c>
      <c r="B20" s="386"/>
      <c r="C20" s="571">
        <v>69.75</v>
      </c>
      <c r="D20" s="311">
        <v>71</v>
      </c>
      <c r="E20" s="572">
        <v>72.75</v>
      </c>
      <c r="F20" s="276"/>
      <c r="G20" s="276"/>
      <c r="H20" s="276"/>
      <c r="I20" s="276"/>
      <c r="J20" s="276"/>
    </row>
    <row r="21" spans="1:10" s="275" customFormat="1" ht="16" customHeight="1" thickBot="1" x14ac:dyDescent="0.2">
      <c r="A21" s="388" t="s">
        <v>209</v>
      </c>
      <c r="B21" s="389"/>
      <c r="C21" s="573">
        <v>79.5</v>
      </c>
      <c r="D21" s="574">
        <v>81</v>
      </c>
      <c r="E21" s="575">
        <v>83.25</v>
      </c>
      <c r="F21" s="276"/>
      <c r="G21" s="276"/>
      <c r="H21" s="276"/>
      <c r="I21" s="276"/>
      <c r="J21" s="276"/>
    </row>
    <row r="22" spans="1:10" s="275" customFormat="1" ht="15" thickBot="1" x14ac:dyDescent="0.2">
      <c r="A22" s="284"/>
      <c r="B22" s="283"/>
      <c r="C22" s="283"/>
      <c r="D22" s="283"/>
      <c r="E22" s="414"/>
      <c r="F22" s="414"/>
      <c r="G22" s="302"/>
    </row>
    <row r="23" spans="1:10" s="275" customFormat="1" ht="19" thickBot="1" x14ac:dyDescent="0.2">
      <c r="A23" s="1776" t="s">
        <v>185</v>
      </c>
      <c r="B23" s="1777"/>
      <c r="C23" s="1777"/>
      <c r="D23" s="1777"/>
      <c r="E23" s="1777"/>
      <c r="F23" s="1778"/>
      <c r="G23" s="634"/>
    </row>
    <row r="24" spans="1:10" s="275" customFormat="1" ht="15" thickBot="1" x14ac:dyDescent="0.2">
      <c r="A24" s="1771"/>
      <c r="B24" s="1772"/>
      <c r="C24" s="1772"/>
      <c r="D24" s="744">
        <v>42095</v>
      </c>
      <c r="E24" s="745">
        <v>42461</v>
      </c>
      <c r="F24" s="746">
        <v>42826</v>
      </c>
      <c r="G24" s="359"/>
    </row>
    <row r="25" spans="1:10" s="275" customFormat="1" ht="14" customHeight="1" x14ac:dyDescent="0.15">
      <c r="A25" s="1763" t="s">
        <v>216</v>
      </c>
      <c r="B25" s="1764"/>
      <c r="C25" s="415" t="s">
        <v>178</v>
      </c>
      <c r="D25" s="557">
        <v>30.5</v>
      </c>
      <c r="E25" s="558">
        <v>31</v>
      </c>
      <c r="F25" s="559">
        <v>32</v>
      </c>
      <c r="G25" s="360"/>
    </row>
    <row r="26" spans="1:10" s="275" customFormat="1" ht="14" x14ac:dyDescent="0.15">
      <c r="A26" s="1765" t="s">
        <v>217</v>
      </c>
      <c r="B26" s="1766"/>
      <c r="C26" s="636" t="s">
        <v>178</v>
      </c>
      <c r="D26" s="560">
        <v>46</v>
      </c>
      <c r="E26" s="561">
        <v>46.75</v>
      </c>
      <c r="F26" s="562">
        <v>48</v>
      </c>
      <c r="G26" s="360"/>
    </row>
    <row r="27" spans="1:10" s="275" customFormat="1" ht="23" customHeight="1" x14ac:dyDescent="0.15">
      <c r="A27" s="1767" t="s">
        <v>214</v>
      </c>
      <c r="B27" s="1768"/>
      <c r="C27" s="636" t="s">
        <v>178</v>
      </c>
      <c r="D27" s="560">
        <v>50</v>
      </c>
      <c r="E27" s="561">
        <v>50.75</v>
      </c>
      <c r="F27" s="562">
        <v>52.25</v>
      </c>
      <c r="G27" s="360"/>
    </row>
    <row r="28" spans="1:10" s="275" customFormat="1" ht="15.75" customHeight="1" thickBot="1" x14ac:dyDescent="0.2">
      <c r="A28" s="1769" t="s">
        <v>215</v>
      </c>
      <c r="B28" s="1770"/>
      <c r="C28" s="390" t="s">
        <v>178</v>
      </c>
      <c r="D28" s="563">
        <v>18</v>
      </c>
      <c r="E28" s="564">
        <v>18.25</v>
      </c>
      <c r="F28" s="565">
        <v>18.75</v>
      </c>
      <c r="G28" s="360"/>
    </row>
    <row r="29" spans="1:10" s="275" customFormat="1" ht="15" thickBot="1" x14ac:dyDescent="0.2">
      <c r="A29" s="265"/>
      <c r="B29" s="265"/>
      <c r="C29" s="265"/>
      <c r="D29" s="265"/>
      <c r="E29" s="265"/>
      <c r="F29" s="266"/>
      <c r="G29" s="265"/>
    </row>
    <row r="30" spans="1:10" s="275" customFormat="1" ht="19" thickBot="1" x14ac:dyDescent="0.25">
      <c r="A30" s="1678" t="s">
        <v>219</v>
      </c>
      <c r="B30" s="1676"/>
      <c r="C30" s="1676"/>
      <c r="D30" s="1676"/>
      <c r="E30" s="1676"/>
      <c r="F30" s="1676"/>
      <c r="G30" s="1676"/>
      <c r="H30" s="1676"/>
      <c r="I30" s="1676"/>
      <c r="J30" s="1677"/>
    </row>
    <row r="31" spans="1:10" s="275" customFormat="1" ht="15" customHeight="1" thickBot="1" x14ac:dyDescent="0.2">
      <c r="A31" s="1779" t="s">
        <v>220</v>
      </c>
      <c r="B31" s="1774" t="s">
        <v>226</v>
      </c>
      <c r="C31" s="1773"/>
      <c r="D31" s="1775"/>
      <c r="E31" s="1774" t="s">
        <v>228</v>
      </c>
      <c r="F31" s="1773"/>
      <c r="G31" s="1775"/>
      <c r="H31" s="1774" t="s">
        <v>227</v>
      </c>
      <c r="I31" s="1773"/>
      <c r="J31" s="1775"/>
    </row>
    <row r="32" spans="1:10" s="275" customFormat="1" ht="15" thickBot="1" x14ac:dyDescent="0.2">
      <c r="A32" s="1780"/>
      <c r="B32" s="369">
        <v>42095</v>
      </c>
      <c r="C32" s="369">
        <v>42461</v>
      </c>
      <c r="D32" s="369">
        <v>42826</v>
      </c>
      <c r="E32" s="369">
        <v>42095</v>
      </c>
      <c r="F32" s="370">
        <v>42461</v>
      </c>
      <c r="G32" s="369">
        <v>42461</v>
      </c>
      <c r="H32" s="371">
        <v>42095</v>
      </c>
      <c r="I32" s="369">
        <v>42461</v>
      </c>
      <c r="J32" s="372">
        <v>42826</v>
      </c>
    </row>
    <row r="33" spans="1:10" s="275" customFormat="1" ht="15" customHeight="1" x14ac:dyDescent="0.15">
      <c r="A33" s="351" t="s">
        <v>221</v>
      </c>
      <c r="B33" s="546">
        <v>534.75</v>
      </c>
      <c r="C33" s="546">
        <v>543.5</v>
      </c>
      <c r="D33" s="546">
        <v>558.5</v>
      </c>
      <c r="E33" s="546">
        <v>802.25</v>
      </c>
      <c r="F33" s="547">
        <v>815</v>
      </c>
      <c r="G33" s="548">
        <v>838</v>
      </c>
      <c r="H33" s="549">
        <v>1069.5</v>
      </c>
      <c r="I33" s="548">
        <v>1086.5</v>
      </c>
      <c r="J33" s="550">
        <v>1117</v>
      </c>
    </row>
    <row r="34" spans="1:10" s="275" customFormat="1" ht="15" customHeight="1" x14ac:dyDescent="0.15">
      <c r="A34" s="351" t="s">
        <v>222</v>
      </c>
      <c r="B34" s="551">
        <v>534.75</v>
      </c>
      <c r="C34" s="551">
        <v>543.5</v>
      </c>
      <c r="D34" s="551">
        <v>558.5</v>
      </c>
      <c r="E34" s="551">
        <v>802.25</v>
      </c>
      <c r="F34" s="552">
        <v>815</v>
      </c>
      <c r="G34" s="321">
        <v>838</v>
      </c>
      <c r="H34" s="319">
        <v>1069.5</v>
      </c>
      <c r="I34" s="321">
        <v>1086.5</v>
      </c>
      <c r="J34" s="553">
        <v>1117</v>
      </c>
    </row>
    <row r="35" spans="1:10" s="275" customFormat="1" ht="15" customHeight="1" x14ac:dyDescent="0.15">
      <c r="A35" s="351" t="s">
        <v>223</v>
      </c>
      <c r="B35" s="551">
        <v>534.75</v>
      </c>
      <c r="C35" s="551">
        <v>543.5</v>
      </c>
      <c r="D35" s="551">
        <v>558.5</v>
      </c>
      <c r="E35" s="551">
        <v>1069.5</v>
      </c>
      <c r="F35" s="552">
        <v>1086.5</v>
      </c>
      <c r="G35" s="321">
        <v>1117</v>
      </c>
      <c r="H35" s="319">
        <v>1604.25</v>
      </c>
      <c r="I35" s="321">
        <v>1629.75</v>
      </c>
      <c r="J35" s="553">
        <v>1675.5</v>
      </c>
    </row>
    <row r="36" spans="1:10" s="275" customFormat="1" ht="15" customHeight="1" x14ac:dyDescent="0.15">
      <c r="A36" s="351" t="s">
        <v>224</v>
      </c>
      <c r="B36" s="551">
        <v>534.75</v>
      </c>
      <c r="C36" s="551">
        <v>543.5</v>
      </c>
      <c r="D36" s="551">
        <v>558.5</v>
      </c>
      <c r="E36" s="551">
        <v>1069.5</v>
      </c>
      <c r="F36" s="552">
        <v>1086.5</v>
      </c>
      <c r="G36" s="321">
        <v>1117</v>
      </c>
      <c r="H36" s="319">
        <v>1604.25</v>
      </c>
      <c r="I36" s="321">
        <v>1629.75</v>
      </c>
      <c r="J36" s="553">
        <v>1675.5</v>
      </c>
    </row>
    <row r="37" spans="1:10" s="275" customFormat="1" ht="15" customHeight="1" thickBot="1" x14ac:dyDescent="0.2">
      <c r="A37" s="352" t="s">
        <v>225</v>
      </c>
      <c r="B37" s="554">
        <v>1604.25</v>
      </c>
      <c r="C37" s="554">
        <v>1629.75</v>
      </c>
      <c r="D37" s="554">
        <v>1675.5</v>
      </c>
      <c r="E37" s="554">
        <v>2139</v>
      </c>
      <c r="F37" s="555">
        <v>2173.25</v>
      </c>
      <c r="G37" s="327">
        <v>2234</v>
      </c>
      <c r="H37" s="325">
        <v>2673.5</v>
      </c>
      <c r="I37" s="327">
        <v>2716.25</v>
      </c>
      <c r="J37" s="556">
        <v>2792.5</v>
      </c>
    </row>
    <row r="38" spans="1:10" s="275" customFormat="1" ht="15" thickBot="1" x14ac:dyDescent="0.2">
      <c r="A38" s="265"/>
      <c r="B38" s="265"/>
      <c r="C38" s="265"/>
      <c r="D38" s="265"/>
      <c r="E38" s="265"/>
      <c r="F38" s="266"/>
      <c r="G38" s="265"/>
    </row>
    <row r="39" spans="1:10" s="275" customFormat="1" ht="19" thickBot="1" x14ac:dyDescent="0.25">
      <c r="A39" s="1675" t="s">
        <v>229</v>
      </c>
      <c r="B39" s="1676"/>
      <c r="C39" s="1676"/>
      <c r="D39" s="1676"/>
      <c r="E39" s="1676"/>
      <c r="F39" s="1676"/>
      <c r="G39" s="1676"/>
      <c r="H39" s="1676"/>
      <c r="I39" s="1676"/>
      <c r="J39" s="1677"/>
    </row>
    <row r="40" spans="1:10" s="275" customFormat="1" ht="15" customHeight="1" thickBot="1" x14ac:dyDescent="0.2">
      <c r="A40" s="1779" t="s">
        <v>220</v>
      </c>
      <c r="B40" s="1774" t="s">
        <v>226</v>
      </c>
      <c r="C40" s="1773"/>
      <c r="D40" s="1775"/>
      <c r="E40" s="1773" t="s">
        <v>228</v>
      </c>
      <c r="F40" s="1773"/>
      <c r="G40" s="1773"/>
      <c r="H40" s="1774" t="s">
        <v>227</v>
      </c>
      <c r="I40" s="1773"/>
      <c r="J40" s="1775"/>
    </row>
    <row r="41" spans="1:10" s="275" customFormat="1" ht="15" thickBot="1" x14ac:dyDescent="0.2">
      <c r="A41" s="1780"/>
      <c r="B41" s="367">
        <v>42095</v>
      </c>
      <c r="C41" s="367">
        <v>42461</v>
      </c>
      <c r="D41" s="367">
        <v>42826</v>
      </c>
      <c r="E41" s="367">
        <v>42095</v>
      </c>
      <c r="F41" s="367">
        <v>42461</v>
      </c>
      <c r="G41" s="367">
        <v>42461</v>
      </c>
      <c r="H41" s="367">
        <v>42095</v>
      </c>
      <c r="I41" s="367">
        <v>42461</v>
      </c>
      <c r="J41" s="368">
        <v>42826</v>
      </c>
    </row>
    <row r="42" spans="1:10" s="275" customFormat="1" ht="15" customHeight="1" x14ac:dyDescent="0.15">
      <c r="A42" s="349" t="s">
        <v>230</v>
      </c>
      <c r="B42" s="566">
        <v>534.75</v>
      </c>
      <c r="C42" s="566">
        <v>543.5</v>
      </c>
      <c r="D42" s="566">
        <v>558.5</v>
      </c>
      <c r="E42" s="566">
        <v>1069.5</v>
      </c>
      <c r="F42" s="566">
        <v>1086.5</v>
      </c>
      <c r="G42" s="567">
        <v>1117</v>
      </c>
      <c r="H42" s="567">
        <v>1604.25</v>
      </c>
      <c r="I42" s="567">
        <v>1629.75</v>
      </c>
      <c r="J42" s="567">
        <v>1675.5</v>
      </c>
    </row>
    <row r="43" spans="1:10" s="275" customFormat="1" ht="15" customHeight="1" x14ac:dyDescent="0.15">
      <c r="A43" s="349" t="s">
        <v>225</v>
      </c>
      <c r="B43" s="551">
        <v>1604.25</v>
      </c>
      <c r="C43" s="551">
        <v>1629.75</v>
      </c>
      <c r="D43" s="551">
        <v>1675.5</v>
      </c>
      <c r="E43" s="551">
        <v>2139</v>
      </c>
      <c r="F43" s="551">
        <v>2173.25</v>
      </c>
      <c r="G43" s="321">
        <v>2234</v>
      </c>
      <c r="H43" s="321">
        <v>2673.5</v>
      </c>
      <c r="I43" s="321">
        <v>2716.25</v>
      </c>
      <c r="J43" s="321">
        <v>2792.5</v>
      </c>
    </row>
    <row r="44" spans="1:10" s="275" customFormat="1" ht="15" customHeight="1" x14ac:dyDescent="0.15">
      <c r="A44" s="349" t="s">
        <v>231</v>
      </c>
      <c r="B44" s="551">
        <v>1069.5</v>
      </c>
      <c r="C44" s="551">
        <v>1086.5</v>
      </c>
      <c r="D44" s="321">
        <v>1117</v>
      </c>
      <c r="E44" s="551">
        <v>1604.25</v>
      </c>
      <c r="F44" s="551">
        <v>1629.75</v>
      </c>
      <c r="G44" s="321">
        <v>1675.5</v>
      </c>
      <c r="H44" s="321">
        <v>2139</v>
      </c>
      <c r="I44" s="321">
        <v>2173.25</v>
      </c>
      <c r="J44" s="321">
        <v>2234</v>
      </c>
    </row>
    <row r="45" spans="1:10" s="275" customFormat="1" ht="15" customHeight="1" x14ac:dyDescent="0.15">
      <c r="A45" s="349" t="s">
        <v>232</v>
      </c>
      <c r="B45" s="551">
        <v>1069.5</v>
      </c>
      <c r="C45" s="551">
        <v>1086.5</v>
      </c>
      <c r="D45" s="321">
        <v>1117</v>
      </c>
      <c r="E45" s="551">
        <v>1069.5</v>
      </c>
      <c r="F45" s="551">
        <v>1086.5</v>
      </c>
      <c r="G45" s="321">
        <v>1117</v>
      </c>
      <c r="H45" s="321">
        <v>1069.5</v>
      </c>
      <c r="I45" s="321">
        <v>1086.5</v>
      </c>
      <c r="J45" s="321">
        <v>1117</v>
      </c>
    </row>
    <row r="46" spans="1:10" s="275" customFormat="1" ht="15" customHeight="1" x14ac:dyDescent="0.15">
      <c r="A46" s="349" t="s">
        <v>381</v>
      </c>
      <c r="B46" s="551">
        <v>534.75</v>
      </c>
      <c r="C46" s="551">
        <v>543.5</v>
      </c>
      <c r="D46" s="551">
        <v>558.5</v>
      </c>
      <c r="E46" s="551">
        <v>802.25</v>
      </c>
      <c r="F46" s="551">
        <v>815</v>
      </c>
      <c r="G46" s="321">
        <v>838</v>
      </c>
      <c r="H46" s="321">
        <v>1069.5</v>
      </c>
      <c r="I46" s="321">
        <v>1086.5</v>
      </c>
      <c r="J46" s="321">
        <v>1117</v>
      </c>
    </row>
    <row r="47" spans="1:10" s="275" customFormat="1" ht="15" customHeight="1" thickBot="1" x14ac:dyDescent="0.2">
      <c r="A47" s="350" t="s">
        <v>233</v>
      </c>
      <c r="B47" s="554">
        <v>1069.5</v>
      </c>
      <c r="C47" s="554">
        <v>1086.5</v>
      </c>
      <c r="D47" s="327">
        <v>1117</v>
      </c>
      <c r="E47" s="554">
        <v>1604.25</v>
      </c>
      <c r="F47" s="554">
        <v>1629.75</v>
      </c>
      <c r="G47" s="327">
        <v>1675.5</v>
      </c>
      <c r="H47" s="327">
        <v>2139</v>
      </c>
      <c r="I47" s="327">
        <v>2173.25</v>
      </c>
      <c r="J47" s="327">
        <v>2234</v>
      </c>
    </row>
    <row r="48" spans="1:10" s="275" customFormat="1" ht="9" customHeight="1" x14ac:dyDescent="0.15">
      <c r="A48" s="356"/>
      <c r="B48" s="353"/>
      <c r="C48" s="353"/>
      <c r="D48" s="354"/>
      <c r="E48" s="353"/>
      <c r="F48" s="353"/>
      <c r="G48" s="354"/>
      <c r="H48" s="355"/>
      <c r="I48" s="354"/>
      <c r="J48" s="354"/>
    </row>
    <row r="49" spans="1:10" s="275" customFormat="1" ht="15" customHeight="1" x14ac:dyDescent="0.15">
      <c r="A49" s="275" t="s">
        <v>256</v>
      </c>
      <c r="F49" s="348"/>
      <c r="G49" s="265"/>
      <c r="H49" s="355"/>
      <c r="I49" s="354"/>
      <c r="J49" s="354"/>
    </row>
    <row r="50" spans="1:10" s="275" customFormat="1" ht="12.75" customHeight="1" x14ac:dyDescent="0.15">
      <c r="A50" s="588" t="s">
        <v>218</v>
      </c>
      <c r="F50" s="348"/>
      <c r="G50" s="265"/>
      <c r="H50" s="355"/>
      <c r="I50" s="354"/>
      <c r="J50" s="354"/>
    </row>
    <row r="51" spans="1:10" s="414" customFormat="1" ht="25.5" customHeight="1" thickBot="1" x14ac:dyDescent="0.2">
      <c r="A51" s="589" t="s">
        <v>382</v>
      </c>
    </row>
    <row r="52" spans="1:10" s="414" customFormat="1" ht="19" thickBot="1" x14ac:dyDescent="0.25">
      <c r="A52" s="1675" t="s">
        <v>253</v>
      </c>
      <c r="B52" s="1676"/>
      <c r="C52" s="1676"/>
      <c r="D52" s="1677"/>
      <c r="E52" s="544"/>
      <c r="F52" s="544"/>
      <c r="G52" s="544"/>
      <c r="H52" s="544"/>
    </row>
    <row r="53" spans="1:10" s="414" customFormat="1" ht="15" thickBot="1" x14ac:dyDescent="0.2">
      <c r="A53" s="1758" t="s">
        <v>255</v>
      </c>
      <c r="B53" s="1759"/>
      <c r="C53" s="1759"/>
      <c r="D53" s="1760"/>
    </row>
    <row r="54" spans="1:10" s="414" customFormat="1" ht="15" thickBot="1" x14ac:dyDescent="0.2">
      <c r="A54" s="378"/>
      <c r="B54" s="374">
        <v>42095</v>
      </c>
      <c r="C54" s="373">
        <v>42461</v>
      </c>
      <c r="D54" s="375">
        <v>42826</v>
      </c>
    </row>
    <row r="55" spans="1:10" s="414" customFormat="1" ht="15" thickBot="1" x14ac:dyDescent="0.2">
      <c r="A55" s="379" t="s">
        <v>254</v>
      </c>
      <c r="B55" s="590">
        <v>1.1000000000000001</v>
      </c>
      <c r="C55" s="591">
        <v>1.6</v>
      </c>
      <c r="D55" s="592">
        <v>2.8</v>
      </c>
      <c r="F55" s="268"/>
      <c r="G55" s="268"/>
      <c r="H55" s="268"/>
    </row>
    <row r="56" spans="1:10" s="414" customFormat="1" ht="14" x14ac:dyDescent="0.15">
      <c r="A56" s="586"/>
      <c r="B56" s="587"/>
      <c r="C56" s="545"/>
      <c r="D56" s="545"/>
    </row>
    <row r="57" spans="1:10" s="275" customFormat="1" ht="14" x14ac:dyDescent="0.15">
      <c r="A57" s="277"/>
    </row>
    <row r="58" spans="1:10" s="275" customFormat="1" ht="14" x14ac:dyDescent="0.15"/>
    <row r="59" spans="1:10" s="275" customFormat="1" ht="18" x14ac:dyDescent="0.15">
      <c r="A59" s="1761"/>
      <c r="B59" s="1761"/>
      <c r="C59" s="1761"/>
      <c r="D59" s="1761"/>
    </row>
    <row r="60" spans="1:10" s="275" customFormat="1" ht="14" x14ac:dyDescent="0.15">
      <c r="A60" s="635"/>
      <c r="B60" s="1762"/>
      <c r="C60" s="361"/>
      <c r="D60" s="361"/>
    </row>
    <row r="61" spans="1:10" s="275" customFormat="1" ht="14" x14ac:dyDescent="0.15">
      <c r="A61" s="635"/>
      <c r="B61" s="1762"/>
      <c r="C61" s="362"/>
      <c r="D61" s="359"/>
    </row>
    <row r="62" spans="1:10" s="275" customFormat="1" ht="14" x14ac:dyDescent="0.15">
      <c r="A62" s="363"/>
      <c r="B62" s="363"/>
      <c r="C62" s="364"/>
      <c r="D62" s="364"/>
    </row>
    <row r="63" spans="1:10" ht="14" x14ac:dyDescent="0.15">
      <c r="A63" s="363"/>
      <c r="B63" s="363"/>
      <c r="C63" s="364"/>
      <c r="D63" s="364"/>
      <c r="E63" s="275"/>
      <c r="F63" s="275"/>
      <c r="G63" s="275"/>
      <c r="H63" s="275"/>
      <c r="I63" s="275"/>
      <c r="J63" s="275"/>
    </row>
    <row r="64" spans="1:10" ht="14" x14ac:dyDescent="0.15">
      <c r="A64" s="365"/>
      <c r="B64" s="365"/>
      <c r="C64" s="366"/>
      <c r="D64" s="364"/>
      <c r="E64" s="633"/>
      <c r="F64" s="633"/>
      <c r="G64" s="633"/>
      <c r="H64" s="633"/>
      <c r="I64" s="275"/>
      <c r="J64" s="275"/>
    </row>
    <row r="65" spans="1:10" ht="14" x14ac:dyDescent="0.15">
      <c r="A65" s="365"/>
      <c r="B65" s="365"/>
      <c r="C65" s="366"/>
      <c r="D65" s="364"/>
      <c r="E65" s="275"/>
      <c r="F65" s="275"/>
      <c r="G65" s="275"/>
      <c r="H65" s="275"/>
      <c r="I65" s="275"/>
      <c r="J65" s="275"/>
    </row>
    <row r="66" spans="1:10" ht="14" x14ac:dyDescent="0.15">
      <c r="A66" s="302"/>
      <c r="B66" s="302"/>
      <c r="C66" s="302"/>
      <c r="D66" s="302"/>
      <c r="E66" s="275"/>
      <c r="F66" s="275"/>
      <c r="G66" s="275"/>
      <c r="H66" s="275"/>
      <c r="I66" s="275"/>
      <c r="J66" s="275"/>
    </row>
    <row r="67" spans="1:10" ht="14" x14ac:dyDescent="0.15">
      <c r="A67" s="275"/>
      <c r="B67" s="275"/>
      <c r="C67" s="275"/>
      <c r="D67" s="275"/>
      <c r="E67" s="275"/>
      <c r="F67" s="275"/>
      <c r="G67" s="275"/>
      <c r="H67" s="275"/>
      <c r="I67" s="275"/>
      <c r="J67" s="275"/>
    </row>
    <row r="68" spans="1:10" ht="14" x14ac:dyDescent="0.15">
      <c r="A68" s="275"/>
      <c r="B68" s="275"/>
      <c r="C68" s="275"/>
      <c r="D68" s="275"/>
      <c r="E68" s="275"/>
      <c r="F68" s="275"/>
      <c r="G68" s="275"/>
      <c r="H68" s="275"/>
      <c r="I68" s="275"/>
      <c r="J68" s="275"/>
    </row>
    <row r="69" spans="1:10" ht="14" x14ac:dyDescent="0.15">
      <c r="A69" s="275"/>
      <c r="B69" s="275"/>
      <c r="C69" s="275"/>
      <c r="D69" s="275"/>
      <c r="E69" s="275"/>
      <c r="F69" s="275"/>
      <c r="G69" s="275"/>
      <c r="H69" s="275"/>
      <c r="I69" s="275"/>
      <c r="J69" s="275"/>
    </row>
    <row r="70" spans="1:10" ht="14" x14ac:dyDescent="0.15">
      <c r="A70" s="275"/>
      <c r="B70" s="275"/>
      <c r="C70" s="275"/>
      <c r="D70" s="275"/>
    </row>
    <row r="71" spans="1:10" ht="14" x14ac:dyDescent="0.15">
      <c r="A71" s="633"/>
      <c r="B71" s="633"/>
      <c r="C71" s="633"/>
      <c r="D71" s="633"/>
    </row>
    <row r="72" spans="1:10" s="275" customFormat="1" ht="14" x14ac:dyDescent="0.15">
      <c r="A72" s="633"/>
      <c r="E72" s="357"/>
      <c r="F72" s="357"/>
      <c r="G72" s="357"/>
      <c r="H72" s="357"/>
      <c r="I72" s="357"/>
      <c r="J72" s="357"/>
    </row>
    <row r="73" spans="1:10" s="275" customFormat="1" ht="14" x14ac:dyDescent="0.15">
      <c r="E73" s="357"/>
      <c r="F73" s="357"/>
      <c r="G73" s="357"/>
      <c r="H73" s="357"/>
      <c r="I73" s="357"/>
      <c r="J73" s="357"/>
    </row>
    <row r="74" spans="1:10" s="275" customFormat="1" ht="14" x14ac:dyDescent="0.15">
      <c r="E74" s="357"/>
      <c r="F74" s="357"/>
      <c r="G74" s="357"/>
      <c r="H74" s="357"/>
      <c r="I74" s="357"/>
      <c r="J74" s="357"/>
    </row>
    <row r="75" spans="1:10" s="275" customFormat="1" ht="14" x14ac:dyDescent="0.15">
      <c r="E75" s="357"/>
      <c r="F75" s="357"/>
      <c r="G75" s="357"/>
      <c r="H75" s="357"/>
      <c r="I75" s="357"/>
      <c r="J75" s="357"/>
    </row>
    <row r="76" spans="1:10" s="275" customFormat="1" ht="14" x14ac:dyDescent="0.15">
      <c r="E76" s="357"/>
      <c r="F76" s="357"/>
      <c r="G76" s="357"/>
      <c r="H76" s="357"/>
      <c r="I76" s="357"/>
      <c r="J76" s="357"/>
    </row>
    <row r="77" spans="1:10" s="275" customFormat="1" ht="14" x14ac:dyDescent="0.15">
      <c r="A77" s="357"/>
      <c r="B77" s="357"/>
      <c r="C77" s="357"/>
      <c r="D77" s="357"/>
      <c r="E77" s="357"/>
      <c r="F77" s="357"/>
      <c r="G77" s="357"/>
      <c r="H77" s="357"/>
      <c r="I77" s="357"/>
      <c r="J77" s="357"/>
    </row>
    <row r="78" spans="1:10" s="275" customFormat="1" ht="14" x14ac:dyDescent="0.15">
      <c r="A78" s="357"/>
      <c r="B78" s="357"/>
      <c r="C78" s="357"/>
      <c r="D78" s="357"/>
      <c r="E78" s="357"/>
      <c r="F78" s="357"/>
      <c r="G78" s="357"/>
      <c r="H78" s="357"/>
      <c r="I78" s="357"/>
      <c r="J78" s="357"/>
    </row>
    <row r="79" spans="1:10" s="275" customFormat="1" ht="14" x14ac:dyDescent="0.15">
      <c r="A79" s="357"/>
      <c r="B79" s="357"/>
      <c r="C79" s="357"/>
      <c r="D79" s="357"/>
    </row>
    <row r="80" spans="1:10" s="275" customFormat="1" ht="14" x14ac:dyDescent="0.15">
      <c r="A80" s="357"/>
      <c r="B80" s="357"/>
      <c r="C80" s="357"/>
      <c r="D80" s="357"/>
    </row>
    <row r="81" spans="1:4" s="275" customFormat="1" ht="14" x14ac:dyDescent="0.15">
      <c r="A81" s="357"/>
      <c r="B81" s="357"/>
      <c r="C81" s="357"/>
      <c r="D81" s="357"/>
    </row>
    <row r="82" spans="1:4" s="275" customFormat="1" ht="14" x14ac:dyDescent="0.15">
      <c r="A82" s="357"/>
      <c r="B82" s="357"/>
      <c r="C82" s="357"/>
      <c r="D82" s="357"/>
    </row>
    <row r="83" spans="1:4" s="275" customFormat="1" ht="14" x14ac:dyDescent="0.15">
      <c r="A83" s="357"/>
      <c r="B83" s="357"/>
      <c r="C83" s="357"/>
      <c r="D83" s="357"/>
    </row>
    <row r="84" spans="1:4" s="275" customFormat="1" ht="14" x14ac:dyDescent="0.15">
      <c r="A84" s="357"/>
      <c r="B84" s="357"/>
      <c r="C84" s="357"/>
      <c r="D84" s="357"/>
    </row>
    <row r="85" spans="1:4" s="275" customFormat="1" ht="14" x14ac:dyDescent="0.15">
      <c r="A85" s="357"/>
      <c r="B85" s="357"/>
      <c r="C85" s="357"/>
      <c r="D85" s="357"/>
    </row>
    <row r="86" spans="1:4" s="275" customFormat="1" ht="14" x14ac:dyDescent="0.15"/>
    <row r="87" spans="1:4" s="275" customFormat="1" ht="14" x14ac:dyDescent="0.15"/>
    <row r="88" spans="1:4" s="275" customFormat="1" ht="14" x14ac:dyDescent="0.15"/>
    <row r="89" spans="1:4" s="275" customFormat="1" ht="14" x14ac:dyDescent="0.15"/>
    <row r="90" spans="1:4" s="275" customFormat="1" ht="14" x14ac:dyDescent="0.15"/>
    <row r="91" spans="1:4" s="275" customFormat="1" ht="14" x14ac:dyDescent="0.15"/>
    <row r="92" spans="1:4" s="275" customFormat="1" ht="14" x14ac:dyDescent="0.15"/>
    <row r="93" spans="1:4" s="275" customFormat="1" ht="14" x14ac:dyDescent="0.15"/>
    <row r="94" spans="1:4" s="275" customFormat="1" ht="14" x14ac:dyDescent="0.15"/>
    <row r="95" spans="1:4" s="275" customFormat="1" ht="14" x14ac:dyDescent="0.15"/>
    <row r="96" spans="1:4" s="275" customFormat="1" ht="14" x14ac:dyDescent="0.15"/>
    <row r="97" s="275" customFormat="1" ht="14" x14ac:dyDescent="0.15"/>
    <row r="98" s="275" customFormat="1" ht="14" x14ac:dyDescent="0.15"/>
    <row r="99" s="275" customFormat="1" ht="14" x14ac:dyDescent="0.15"/>
    <row r="100" s="275" customFormat="1" ht="14" x14ac:dyDescent="0.15"/>
    <row r="101" s="275" customFormat="1" ht="14" x14ac:dyDescent="0.15"/>
    <row r="102" s="275" customFormat="1" ht="14" x14ac:dyDescent="0.15"/>
    <row r="103" s="275" customFormat="1" ht="14" x14ac:dyDescent="0.15"/>
    <row r="104" s="275" customFormat="1" ht="14" x14ac:dyDescent="0.15"/>
    <row r="105" s="275" customFormat="1" ht="14" x14ac:dyDescent="0.15"/>
    <row r="106" s="275" customFormat="1" ht="14" x14ac:dyDescent="0.15"/>
    <row r="107" s="275" customFormat="1" ht="14" x14ac:dyDescent="0.15"/>
    <row r="108" s="275" customFormat="1" ht="14" x14ac:dyDescent="0.15"/>
    <row r="109" s="275" customFormat="1" ht="14" x14ac:dyDescent="0.15"/>
    <row r="110" s="275" customFormat="1" ht="14" x14ac:dyDescent="0.15"/>
    <row r="111" s="275" customFormat="1" ht="14" x14ac:dyDescent="0.15"/>
    <row r="112" s="275" customFormat="1" ht="14" x14ac:dyDescent="0.15"/>
    <row r="113" s="275" customFormat="1" ht="14" x14ac:dyDescent="0.15"/>
    <row r="114" s="275" customFormat="1" ht="14" x14ac:dyDescent="0.15"/>
    <row r="115" s="275" customFormat="1" ht="14" x14ac:dyDescent="0.15"/>
    <row r="116" s="275" customFormat="1" ht="14" x14ac:dyDescent="0.15"/>
    <row r="117" s="275" customFormat="1" ht="14" x14ac:dyDescent="0.15"/>
    <row r="118" s="275" customFormat="1" ht="14" x14ac:dyDescent="0.15"/>
    <row r="119" s="275" customFormat="1" ht="14" x14ac:dyDescent="0.15"/>
    <row r="120" s="275" customFormat="1" ht="14" x14ac:dyDescent="0.15"/>
    <row r="121" s="275" customFormat="1" ht="14" x14ac:dyDescent="0.15"/>
    <row r="122" s="275" customFormat="1" ht="14" x14ac:dyDescent="0.15"/>
    <row r="123" s="275" customFormat="1" ht="14" x14ac:dyDescent="0.15"/>
    <row r="124" s="275" customFormat="1" ht="14" x14ac:dyDescent="0.15"/>
    <row r="125" s="275" customFormat="1" ht="14" x14ac:dyDescent="0.15"/>
    <row r="126" s="275" customFormat="1" ht="14" x14ac:dyDescent="0.15"/>
    <row r="127" s="275" customFormat="1" ht="14" x14ac:dyDescent="0.15"/>
    <row r="128" s="275" customFormat="1" ht="14" x14ac:dyDescent="0.15"/>
    <row r="129" s="275" customFormat="1" ht="14" x14ac:dyDescent="0.15"/>
    <row r="130" s="275" customFormat="1" ht="14" x14ac:dyDescent="0.15"/>
    <row r="131" s="275" customFormat="1" ht="14" x14ac:dyDescent="0.15"/>
    <row r="132" s="275" customFormat="1" ht="14" x14ac:dyDescent="0.15"/>
    <row r="133" s="275" customFormat="1" ht="14" x14ac:dyDescent="0.15"/>
    <row r="134" s="275" customFormat="1" ht="14" x14ac:dyDescent="0.15"/>
    <row r="135" s="275" customFormat="1" ht="14" x14ac:dyDescent="0.15"/>
    <row r="136" s="275" customFormat="1" ht="14" x14ac:dyDescent="0.15"/>
    <row r="137" s="275" customFormat="1" ht="14" x14ac:dyDescent="0.15"/>
    <row r="138" s="275" customFormat="1" ht="14" x14ac:dyDescent="0.15"/>
    <row r="139" s="275" customFormat="1" ht="14" x14ac:dyDescent="0.15"/>
    <row r="140" s="275" customFormat="1" ht="14" x14ac:dyDescent="0.15"/>
    <row r="141" s="275" customFormat="1" ht="14" x14ac:dyDescent="0.15"/>
    <row r="142" s="275" customFormat="1" ht="14" x14ac:dyDescent="0.15"/>
    <row r="143" s="275" customFormat="1" ht="14" x14ac:dyDescent="0.15"/>
    <row r="144" s="275" customFormat="1" ht="14" x14ac:dyDescent="0.15"/>
    <row r="145" spans="1:10" s="275" customFormat="1" ht="14" x14ac:dyDescent="0.15"/>
    <row r="146" spans="1:10" s="275" customFormat="1" ht="14" x14ac:dyDescent="0.15"/>
    <row r="147" spans="1:10" s="275" customFormat="1" ht="14" x14ac:dyDescent="0.15"/>
    <row r="148" spans="1:10" s="275" customFormat="1" ht="14" x14ac:dyDescent="0.15"/>
    <row r="149" spans="1:10" s="275" customFormat="1" ht="14" x14ac:dyDescent="0.15"/>
    <row r="150" spans="1:10" s="275" customFormat="1" ht="14" x14ac:dyDescent="0.15"/>
    <row r="151" spans="1:10" s="275" customFormat="1" ht="14" x14ac:dyDescent="0.15"/>
    <row r="152" spans="1:10" s="275" customFormat="1" ht="14" x14ac:dyDescent="0.15"/>
    <row r="153" spans="1:10" s="275" customFormat="1" ht="14" x14ac:dyDescent="0.15"/>
    <row r="154" spans="1:10" ht="14" x14ac:dyDescent="0.15">
      <c r="A154" s="275"/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1:10" ht="14" x14ac:dyDescent="0.15">
      <c r="A155" s="275"/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1:10" ht="14" x14ac:dyDescent="0.15">
      <c r="A156" s="275"/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1:10" ht="14" x14ac:dyDescent="0.15">
      <c r="A157" s="275"/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1:10" ht="14" x14ac:dyDescent="0.15">
      <c r="A158" s="275"/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1:10" ht="14" x14ac:dyDescent="0.15">
      <c r="A159" s="275"/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1:10" ht="14" x14ac:dyDescent="0.15">
      <c r="A160" s="275"/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1:4" ht="14" x14ac:dyDescent="0.15">
      <c r="A161" s="275"/>
      <c r="B161" s="275"/>
      <c r="C161" s="275"/>
      <c r="D161" s="275"/>
    </row>
    <row r="162" spans="1:4" ht="14" x14ac:dyDescent="0.15">
      <c r="A162" s="275"/>
      <c r="B162" s="275"/>
      <c r="C162" s="275"/>
      <c r="D162" s="275"/>
    </row>
    <row r="163" spans="1:4" ht="14" x14ac:dyDescent="0.15">
      <c r="A163" s="275"/>
      <c r="B163" s="275"/>
      <c r="C163" s="275"/>
      <c r="D163" s="275"/>
    </row>
    <row r="164" spans="1:4" ht="14" x14ac:dyDescent="0.15">
      <c r="A164" s="275"/>
      <c r="B164" s="275"/>
      <c r="C164" s="275"/>
      <c r="D164" s="275"/>
    </row>
    <row r="165" spans="1:4" ht="14" x14ac:dyDescent="0.15">
      <c r="A165" s="275"/>
      <c r="B165" s="275"/>
      <c r="C165" s="275"/>
      <c r="D165" s="275"/>
    </row>
    <row r="166" spans="1:4" ht="14" x14ac:dyDescent="0.15">
      <c r="A166" s="275"/>
      <c r="B166" s="275"/>
      <c r="C166" s="275"/>
      <c r="D166" s="275"/>
    </row>
    <row r="167" spans="1:4" ht="14" x14ac:dyDescent="0.15">
      <c r="A167" s="275"/>
      <c r="B167" s="275"/>
      <c r="C167" s="275"/>
      <c r="D167" s="275"/>
    </row>
  </sheetData>
  <sheetProtection sheet="1" objects="1" scenarios="1"/>
  <mergeCells count="29">
    <mergeCell ref="A6:D6"/>
    <mergeCell ref="E6:H6"/>
    <mergeCell ref="A2:J2"/>
    <mergeCell ref="A1:J1"/>
    <mergeCell ref="A3:J3"/>
    <mergeCell ref="A4:J4"/>
    <mergeCell ref="A30:J30"/>
    <mergeCell ref="A39:J39"/>
    <mergeCell ref="A40:A41"/>
    <mergeCell ref="A31:A32"/>
    <mergeCell ref="B40:D40"/>
    <mergeCell ref="H40:J40"/>
    <mergeCell ref="H31:J31"/>
    <mergeCell ref="A13:D13"/>
    <mergeCell ref="A59:D59"/>
    <mergeCell ref="B60:B61"/>
    <mergeCell ref="A12:D12"/>
    <mergeCell ref="A17:E17"/>
    <mergeCell ref="A52:D52"/>
    <mergeCell ref="A25:B25"/>
    <mergeCell ref="A26:B26"/>
    <mergeCell ref="A27:B27"/>
    <mergeCell ref="A28:B28"/>
    <mergeCell ref="A24:C24"/>
    <mergeCell ref="A53:D53"/>
    <mergeCell ref="E40:G40"/>
    <mergeCell ref="E31:G31"/>
    <mergeCell ref="B31:D31"/>
    <mergeCell ref="A23:F23"/>
  </mergeCells>
  <phoneticPr fontId="6" type="noConversion"/>
  <pageMargins left="0.59" right="0.39" top="0.75" bottom="0.75" header="0.31" footer="0.31"/>
  <pageSetup paperSize="9" scale="72" orientation="portrait" r:id="rId1"/>
  <headerFooter>
    <oddFooter>&amp;C&amp;"Calibri,Normal"&amp;8&amp;K000000Løntabel Foreningen af Kristne Friskoler og Krifa&amp;R&amp;"Calibri,Normal"&amp;8&amp;K000000&amp;P af i alt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86"/>
  <sheetViews>
    <sheetView view="pageBreakPreview" workbookViewId="0">
      <selection sqref="A1:H1"/>
    </sheetView>
  </sheetViews>
  <sheetFormatPr baseColWidth="10" defaultColWidth="8.83203125" defaultRowHeight="15" x14ac:dyDescent="0.2"/>
  <cols>
    <col min="1" max="1" width="13.33203125" customWidth="1"/>
    <col min="2" max="3" width="11.33203125" customWidth="1"/>
    <col min="4" max="6" width="9.83203125" customWidth="1"/>
    <col min="7" max="7" width="10.1640625" customWidth="1"/>
    <col min="8" max="8" width="8.83203125" customWidth="1"/>
    <col min="9" max="9" width="9.6640625" customWidth="1"/>
    <col min="10" max="10" width="20" customWidth="1"/>
    <col min="11" max="11" width="9.6640625" bestFit="1" customWidth="1"/>
  </cols>
  <sheetData>
    <row r="1" spans="1:20" ht="30" customHeight="1" thickBot="1" x14ac:dyDescent="0.25">
      <c r="A1" s="1814" t="s">
        <v>135</v>
      </c>
      <c r="B1" s="1815"/>
      <c r="C1" s="1815"/>
      <c r="D1" s="1815"/>
      <c r="E1" s="1815"/>
      <c r="F1" s="1815"/>
      <c r="G1" s="1815"/>
      <c r="H1" s="1816"/>
      <c r="I1" s="1820"/>
      <c r="J1" s="1821"/>
    </row>
    <row r="2" spans="1:20" s="38" customFormat="1" ht="12" customHeight="1" thickBot="1" x14ac:dyDescent="0.25">
      <c r="A2" s="1819"/>
      <c r="B2" s="1819"/>
      <c r="C2" s="1819"/>
      <c r="D2" s="1819"/>
      <c r="E2" s="1819"/>
      <c r="F2" s="1819"/>
      <c r="G2" s="1819"/>
      <c r="H2" s="1819"/>
      <c r="I2" s="1819"/>
      <c r="J2" s="1819"/>
      <c r="K2" s="27"/>
      <c r="L2" s="27"/>
      <c r="M2" s="27"/>
    </row>
    <row r="3" spans="1:20" s="38" customFormat="1" ht="19" customHeight="1" thickBot="1" x14ac:dyDescent="0.25">
      <c r="A3" s="1099" t="s">
        <v>470</v>
      </c>
      <c r="B3" s="1100"/>
      <c r="C3" s="1100"/>
      <c r="D3" s="1100"/>
      <c r="E3" s="1100"/>
      <c r="F3" s="1100"/>
      <c r="G3" s="1100"/>
      <c r="H3" s="1110"/>
      <c r="I3" s="1822"/>
      <c r="J3" s="1497"/>
      <c r="K3" s="27"/>
    </row>
    <row r="4" spans="1:20" ht="21" customHeight="1" thickBot="1" x14ac:dyDescent="0.25">
      <c r="A4" s="102"/>
      <c r="B4" s="1832" t="s">
        <v>38</v>
      </c>
      <c r="C4" s="1833"/>
      <c r="D4" s="1833"/>
      <c r="E4" s="1833"/>
      <c r="F4" s="1833"/>
      <c r="G4" s="1833"/>
      <c r="H4" s="1834"/>
      <c r="I4" s="1822"/>
      <c r="J4" s="1497"/>
      <c r="K4" s="2"/>
    </row>
    <row r="5" spans="1:20" ht="15" customHeight="1" x14ac:dyDescent="0.2">
      <c r="A5" s="1839"/>
      <c r="B5" s="1416" t="s">
        <v>35</v>
      </c>
      <c r="C5" s="1330"/>
      <c r="D5" s="1416" t="s">
        <v>107</v>
      </c>
      <c r="E5" s="1330"/>
      <c r="F5" s="1416" t="s">
        <v>108</v>
      </c>
      <c r="G5" s="1330"/>
      <c r="H5" s="1841" t="s">
        <v>109</v>
      </c>
      <c r="I5" s="1822"/>
      <c r="J5" s="1497"/>
      <c r="K5" s="2"/>
    </row>
    <row r="6" spans="1:20" ht="33.75" customHeight="1" thickBot="1" x14ac:dyDescent="0.25">
      <c r="A6" s="1840"/>
      <c r="B6" s="1421"/>
      <c r="C6" s="1423"/>
      <c r="D6" s="1421"/>
      <c r="E6" s="1423"/>
      <c r="F6" s="1421"/>
      <c r="G6" s="1423"/>
      <c r="H6" s="1842"/>
      <c r="I6" s="1822"/>
      <c r="J6" s="1497"/>
      <c r="K6" s="2"/>
    </row>
    <row r="7" spans="1:20" ht="17" customHeight="1" x14ac:dyDescent="0.2">
      <c r="A7" s="103" t="s">
        <v>36</v>
      </c>
      <c r="B7" s="1826">
        <v>94.65</v>
      </c>
      <c r="C7" s="1827"/>
      <c r="D7" s="1826">
        <v>63.1</v>
      </c>
      <c r="E7" s="1827"/>
      <c r="F7" s="1836">
        <v>31.55</v>
      </c>
      <c r="G7" s="1836"/>
      <c r="H7" s="154">
        <v>0</v>
      </c>
      <c r="I7" s="1822"/>
      <c r="J7" s="1497"/>
      <c r="K7" s="2"/>
    </row>
    <row r="8" spans="1:20" ht="17" customHeight="1" thickBot="1" x14ac:dyDescent="0.25">
      <c r="A8" s="104" t="s">
        <v>37</v>
      </c>
      <c r="B8" s="1837">
        <v>189.35</v>
      </c>
      <c r="C8" s="1838"/>
      <c r="D8" s="1828">
        <v>126.25</v>
      </c>
      <c r="E8" s="1829"/>
      <c r="F8" s="1843">
        <v>63.1</v>
      </c>
      <c r="G8" s="1843"/>
      <c r="H8" s="155">
        <v>0</v>
      </c>
      <c r="I8" s="1822"/>
      <c r="J8" s="1497"/>
      <c r="K8" s="2"/>
    </row>
    <row r="9" spans="1:20" ht="17" customHeight="1" thickBot="1" x14ac:dyDescent="0.25">
      <c r="A9" s="105" t="s">
        <v>23</v>
      </c>
      <c r="B9" s="1835">
        <f>SUM(B7:C8)</f>
        <v>284</v>
      </c>
      <c r="C9" s="1835"/>
      <c r="D9" s="1830">
        <f>SUM(D7:E8)</f>
        <v>189.35</v>
      </c>
      <c r="E9" s="1831"/>
      <c r="F9" s="1835">
        <f>SUM(F7:G8)</f>
        <v>94.65</v>
      </c>
      <c r="G9" s="1835"/>
      <c r="H9" s="156">
        <f>SUM(H7:I8)</f>
        <v>0</v>
      </c>
      <c r="I9" s="1822"/>
      <c r="J9" s="1497"/>
      <c r="K9" s="157"/>
    </row>
    <row r="10" spans="1:20" ht="17" customHeight="1" x14ac:dyDescent="0.2">
      <c r="A10" s="1823" t="s">
        <v>320</v>
      </c>
      <c r="B10" s="1823"/>
      <c r="C10" s="1823"/>
      <c r="D10" s="1823"/>
      <c r="E10" s="1823"/>
      <c r="F10" s="1823"/>
      <c r="G10" s="1823"/>
      <c r="H10" s="1823"/>
      <c r="I10" s="1825"/>
      <c r="J10" s="1825"/>
      <c r="K10" s="6"/>
      <c r="L10" s="2"/>
      <c r="M10" s="157"/>
    </row>
    <row r="11" spans="1:20" ht="16" customHeight="1" thickBot="1" x14ac:dyDescent="0.25">
      <c r="A11" s="1824"/>
      <c r="B11" s="1824"/>
      <c r="C11" s="1824"/>
      <c r="D11" s="1824"/>
      <c r="E11" s="1824"/>
      <c r="F11" s="1824"/>
      <c r="G11" s="1824"/>
      <c r="H11" s="1824"/>
      <c r="I11" s="1824"/>
      <c r="J11" s="1824"/>
      <c r="K11" s="2"/>
      <c r="L11" s="2"/>
      <c r="M11" s="2"/>
    </row>
    <row r="12" spans="1:20" s="2" customFormat="1" ht="24" customHeight="1" thickBot="1" x14ac:dyDescent="0.2">
      <c r="A12" s="1776" t="s">
        <v>69</v>
      </c>
      <c r="B12" s="1777"/>
      <c r="C12" s="1777"/>
      <c r="D12" s="1777"/>
      <c r="E12" s="1777"/>
      <c r="F12" s="1777"/>
      <c r="G12" s="1777"/>
      <c r="H12" s="1778"/>
      <c r="M12" s="16"/>
      <c r="N12" s="16"/>
      <c r="O12" s="16"/>
      <c r="P12" s="16"/>
      <c r="Q12" s="16"/>
      <c r="R12" s="16"/>
      <c r="S12" s="16"/>
      <c r="T12" s="16"/>
    </row>
    <row r="13" spans="1:20" s="2" customFormat="1" ht="21" customHeight="1" thickBot="1" x14ac:dyDescent="0.2">
      <c r="A13" s="1844" t="s">
        <v>242</v>
      </c>
      <c r="B13" s="1845"/>
      <c r="C13" s="1845"/>
      <c r="D13" s="1845"/>
      <c r="E13" s="1845"/>
      <c r="F13" s="1845"/>
      <c r="G13" s="1846"/>
      <c r="H13" s="124" t="s">
        <v>68</v>
      </c>
      <c r="M13" s="16"/>
      <c r="N13" s="16"/>
      <c r="O13" s="16"/>
      <c r="P13" s="16"/>
      <c r="Q13" s="16"/>
      <c r="R13" s="16"/>
      <c r="S13" s="16"/>
      <c r="T13" s="16"/>
    </row>
    <row r="14" spans="1:20" s="2" customFormat="1" ht="17" customHeight="1" thickBot="1" x14ac:dyDescent="0.2">
      <c r="A14" s="1851" t="s">
        <v>70</v>
      </c>
      <c r="B14" s="1852"/>
      <c r="C14" s="1852"/>
      <c r="D14" s="1852"/>
      <c r="E14" s="1852"/>
      <c r="F14" s="1852"/>
      <c r="G14" s="1853"/>
      <c r="H14" s="125">
        <v>108.35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21" customHeight="1" thickBot="1" x14ac:dyDescent="0.2">
      <c r="A15" s="1854" t="s">
        <v>243</v>
      </c>
      <c r="B15" s="1855"/>
      <c r="C15" s="1855"/>
      <c r="D15" s="1855"/>
      <c r="E15" s="1855"/>
      <c r="F15" s="1855"/>
      <c r="G15" s="1856"/>
      <c r="H15" s="126" t="s">
        <v>94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16" customHeight="1" x14ac:dyDescent="0.15">
      <c r="A16" s="1857" t="s">
        <v>199</v>
      </c>
      <c r="B16" s="1858"/>
      <c r="C16" s="1858"/>
      <c r="D16" s="1858"/>
      <c r="E16" s="1858"/>
      <c r="F16" s="1858"/>
      <c r="G16" s="1859"/>
      <c r="H16" s="1863">
        <v>176.5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16" customHeight="1" thickBot="1" x14ac:dyDescent="0.2">
      <c r="A17" s="1860"/>
      <c r="B17" s="1861"/>
      <c r="C17" s="1861"/>
      <c r="D17" s="1861"/>
      <c r="E17" s="1861"/>
      <c r="F17" s="1861"/>
      <c r="G17" s="1862"/>
      <c r="H17" s="1864"/>
      <c r="M17" s="16"/>
      <c r="N17" s="16"/>
      <c r="O17" s="16"/>
      <c r="P17" s="16"/>
      <c r="Q17" s="16"/>
      <c r="R17" s="16"/>
      <c r="S17" s="16"/>
      <c r="T17" s="16"/>
    </row>
    <row r="18" spans="1:20" s="2" customFormat="1" ht="21" customHeight="1" thickBot="1" x14ac:dyDescent="0.2">
      <c r="A18" s="20"/>
      <c r="B18" s="20"/>
      <c r="C18" s="20"/>
      <c r="D18" s="20"/>
      <c r="E18" s="20"/>
      <c r="F18" s="20"/>
      <c r="G18" s="20"/>
      <c r="H18" s="20"/>
      <c r="M18" s="16"/>
      <c r="N18" s="16"/>
      <c r="O18" s="16"/>
      <c r="P18" s="16"/>
      <c r="Q18" s="16"/>
      <c r="R18" s="16"/>
      <c r="S18" s="16"/>
      <c r="T18" s="16"/>
    </row>
    <row r="19" spans="1:20" s="2" customFormat="1" ht="16" customHeight="1" thickBot="1" x14ac:dyDescent="0.2">
      <c r="A19" s="1099" t="s">
        <v>322</v>
      </c>
      <c r="B19" s="1100"/>
      <c r="C19" s="1100"/>
      <c r="D19" s="1100"/>
      <c r="E19" s="1100"/>
      <c r="F19" s="1100"/>
      <c r="G19" s="1100"/>
      <c r="H19" s="1110"/>
      <c r="M19" s="16"/>
      <c r="N19" s="16"/>
      <c r="O19" s="16"/>
      <c r="P19" s="16"/>
      <c r="Q19" s="16"/>
      <c r="R19" s="16"/>
      <c r="S19" s="16"/>
      <c r="T19" s="16"/>
    </row>
    <row r="20" spans="1:20" s="2" customFormat="1" ht="16" customHeight="1" x14ac:dyDescent="0.15">
      <c r="A20" s="1866" t="s">
        <v>39</v>
      </c>
      <c r="B20" s="1416" t="s">
        <v>43</v>
      </c>
      <c r="C20" s="1417"/>
      <c r="D20" s="1330"/>
      <c r="E20" s="1416" t="s">
        <v>43</v>
      </c>
      <c r="F20" s="1417"/>
      <c r="G20" s="1417"/>
      <c r="H20" s="1330"/>
      <c r="M20" s="16"/>
      <c r="N20" s="16"/>
      <c r="O20" s="16"/>
      <c r="P20" s="16"/>
      <c r="Q20" s="16"/>
      <c r="R20" s="16"/>
      <c r="S20" s="16"/>
      <c r="T20" s="16"/>
    </row>
    <row r="21" spans="1:20" ht="26" customHeight="1" thickBot="1" x14ac:dyDescent="0.25">
      <c r="A21" s="1840"/>
      <c r="B21" s="1848">
        <v>40999</v>
      </c>
      <c r="C21" s="1849"/>
      <c r="D21" s="1850"/>
      <c r="E21" s="1848" t="str">
        <f>'Løntabel gældende fra'!$D$1</f>
        <v>01/04/2018</v>
      </c>
      <c r="F21" s="1849"/>
      <c r="G21" s="1849"/>
      <c r="H21" s="1850"/>
      <c r="I21" s="20"/>
      <c r="J21" s="20"/>
      <c r="K21" s="2"/>
      <c r="L21" s="2"/>
      <c r="M21" s="2"/>
    </row>
    <row r="22" spans="1:20" ht="24" customHeight="1" x14ac:dyDescent="0.2">
      <c r="A22" s="98" t="s">
        <v>40</v>
      </c>
      <c r="B22" s="1872">
        <v>6000</v>
      </c>
      <c r="C22" s="1873"/>
      <c r="D22" s="1874"/>
      <c r="E22" s="1867">
        <f>B22+B22*'Løntabel gældende fra'!$D$7%</f>
        <v>6418.098</v>
      </c>
      <c r="F22" s="1867"/>
      <c r="G22" s="1867"/>
      <c r="H22" s="1868"/>
      <c r="I22" s="45"/>
      <c r="J22" s="45"/>
      <c r="K22" s="45"/>
      <c r="L22" s="2"/>
      <c r="M22" s="2"/>
      <c r="N22" s="2"/>
    </row>
    <row r="23" spans="1:20" x14ac:dyDescent="0.2">
      <c r="A23" s="99" t="s">
        <v>41</v>
      </c>
      <c r="B23" s="1875">
        <v>7600</v>
      </c>
      <c r="C23" s="1876"/>
      <c r="D23" s="1877"/>
      <c r="E23" s="1870">
        <f>B23+B23*'Løntabel gældende fra'!$D$7%</f>
        <v>8129.5907999999999</v>
      </c>
      <c r="F23" s="1870"/>
      <c r="G23" s="1870"/>
      <c r="H23" s="1871"/>
      <c r="I23" s="1847"/>
      <c r="J23" s="1847"/>
      <c r="K23" s="1847"/>
      <c r="L23" s="2"/>
      <c r="M23" s="2"/>
      <c r="N23" s="2"/>
    </row>
    <row r="24" spans="1:20" ht="19.5" customHeight="1" thickBot="1" x14ac:dyDescent="0.25">
      <c r="A24" s="100" t="s">
        <v>42</v>
      </c>
      <c r="B24" s="1880">
        <v>9000</v>
      </c>
      <c r="C24" s="1881"/>
      <c r="D24" s="1882"/>
      <c r="E24" s="1878">
        <f>B24+B24*'Løntabel gældende fra'!$D$7%</f>
        <v>9627.1470000000008</v>
      </c>
      <c r="F24" s="1878"/>
      <c r="G24" s="1878"/>
      <c r="H24" s="1879"/>
      <c r="I24" s="1847"/>
      <c r="J24" s="1847"/>
      <c r="K24" s="1847"/>
      <c r="L24" s="2"/>
      <c r="M24" s="2"/>
      <c r="N24" s="2"/>
    </row>
    <row r="25" spans="1:20" ht="14" customHeight="1" thickBot="1" x14ac:dyDescent="0.25">
      <c r="A25" s="2"/>
      <c r="B25" s="2"/>
      <c r="C25" s="2"/>
      <c r="D25" s="2"/>
      <c r="E25" s="2"/>
      <c r="F25" s="2"/>
      <c r="G25" s="2"/>
      <c r="H25" s="2"/>
      <c r="I25" s="1869"/>
      <c r="J25" s="1869"/>
      <c r="K25" s="25"/>
      <c r="L25" s="2"/>
      <c r="M25" s="2"/>
      <c r="N25" s="2"/>
    </row>
    <row r="26" spans="1:20" ht="14" customHeight="1" thickBot="1" x14ac:dyDescent="0.25">
      <c r="A26" s="1099" t="s">
        <v>466</v>
      </c>
      <c r="B26" s="1100"/>
      <c r="C26" s="1100"/>
      <c r="D26" s="1100"/>
      <c r="E26" s="1100"/>
      <c r="F26" s="1100"/>
      <c r="G26" s="1100"/>
      <c r="H26" s="1110"/>
      <c r="I26" s="1865"/>
      <c r="J26" s="1865"/>
      <c r="K26" s="26"/>
      <c r="L26" s="2"/>
      <c r="M26" s="2"/>
      <c r="N26" s="2"/>
    </row>
    <row r="27" spans="1:20" ht="14" customHeight="1" thickBot="1" x14ac:dyDescent="0.25">
      <c r="A27" s="1900">
        <v>2018</v>
      </c>
      <c r="B27" s="1901"/>
      <c r="C27" s="1901"/>
      <c r="D27" s="1902"/>
      <c r="E27" s="1085" t="s">
        <v>143</v>
      </c>
      <c r="F27" s="1086"/>
      <c r="G27" s="1805" t="s">
        <v>144</v>
      </c>
      <c r="H27" s="1807"/>
      <c r="I27" s="1865"/>
      <c r="J27" s="1865"/>
      <c r="K27" s="26"/>
      <c r="L27" s="2"/>
      <c r="M27" s="2"/>
      <c r="N27" s="2"/>
    </row>
    <row r="28" spans="1:20" ht="62.25" customHeight="1" thickBot="1" x14ac:dyDescent="0.25">
      <c r="A28" s="1903"/>
      <c r="B28" s="1904"/>
      <c r="C28" s="1904"/>
      <c r="D28" s="1905"/>
      <c r="E28" s="747" t="s">
        <v>471</v>
      </c>
      <c r="F28" s="747" t="s">
        <v>384</v>
      </c>
      <c r="G28" s="664" t="s">
        <v>471</v>
      </c>
      <c r="H28" s="748" t="s">
        <v>384</v>
      </c>
      <c r="I28" s="2"/>
      <c r="J28" s="2"/>
      <c r="K28" s="2"/>
      <c r="L28" s="2"/>
      <c r="M28" s="2"/>
    </row>
    <row r="29" spans="1:20" ht="18.75" customHeight="1" x14ac:dyDescent="0.2">
      <c r="A29" s="1808" t="s">
        <v>145</v>
      </c>
      <c r="B29" s="1809"/>
      <c r="C29" s="1809"/>
      <c r="D29" s="782"/>
      <c r="E29" s="749">
        <v>427</v>
      </c>
      <c r="F29" s="233">
        <f>E29/24</f>
        <v>17.791666666666668</v>
      </c>
      <c r="G29" s="308">
        <v>498</v>
      </c>
      <c r="H29" s="753">
        <f>G29/24</f>
        <v>20.75</v>
      </c>
      <c r="I29" s="237"/>
      <c r="J29" s="27"/>
      <c r="K29" s="27"/>
      <c r="L29" s="2"/>
      <c r="M29" s="2"/>
    </row>
    <row r="30" spans="1:20" ht="15.75" customHeight="1" x14ac:dyDescent="0.2">
      <c r="A30" s="1898" t="s">
        <v>388</v>
      </c>
      <c r="B30" s="1899"/>
      <c r="C30" s="1899"/>
      <c r="D30" s="781"/>
      <c r="E30" s="750">
        <f>(E29*15)/100</f>
        <v>64.05</v>
      </c>
      <c r="F30" s="234">
        <f t="shared" ref="F30:F34" si="0">E30/24</f>
        <v>2.6687499999999997</v>
      </c>
      <c r="G30" s="309">
        <f>(G29*15)/100</f>
        <v>74.7</v>
      </c>
      <c r="H30" s="754">
        <f t="shared" ref="H30:H34" si="1">G30/24</f>
        <v>3.1125000000000003</v>
      </c>
      <c r="I30" s="783"/>
      <c r="J30" s="783"/>
      <c r="K30" s="28"/>
      <c r="L30" s="27"/>
      <c r="M30" s="2"/>
      <c r="N30" s="2"/>
    </row>
    <row r="31" spans="1:20" ht="19.5" customHeight="1" x14ac:dyDescent="0.2">
      <c r="A31" s="1898" t="s">
        <v>389</v>
      </c>
      <c r="B31" s="1899"/>
      <c r="C31" s="1899"/>
      <c r="D31" s="781"/>
      <c r="E31" s="750">
        <f>(E29*30)/100</f>
        <v>128.1</v>
      </c>
      <c r="F31" s="234">
        <f t="shared" si="0"/>
        <v>5.3374999999999995</v>
      </c>
      <c r="G31" s="310">
        <f>(G29*30)/100</f>
        <v>149.4</v>
      </c>
      <c r="H31" s="754">
        <f t="shared" si="1"/>
        <v>6.2250000000000005</v>
      </c>
      <c r="I31" s="783"/>
      <c r="J31" s="783"/>
      <c r="K31" s="28"/>
      <c r="L31" s="27"/>
      <c r="M31" s="2"/>
      <c r="N31" s="2"/>
    </row>
    <row r="32" spans="1:20" ht="17" customHeight="1" x14ac:dyDescent="0.2">
      <c r="A32" s="1898" t="s">
        <v>390</v>
      </c>
      <c r="B32" s="1899"/>
      <c r="C32" s="1899"/>
      <c r="D32" s="781"/>
      <c r="E32" s="750">
        <f>(E29*30)/100</f>
        <v>128.1</v>
      </c>
      <c r="F32" s="234">
        <f t="shared" si="0"/>
        <v>5.3374999999999995</v>
      </c>
      <c r="G32" s="311">
        <f>(G29*30)/100</f>
        <v>149.4</v>
      </c>
      <c r="H32" s="754">
        <f t="shared" si="1"/>
        <v>6.2250000000000005</v>
      </c>
      <c r="I32" s="232"/>
      <c r="K32" s="52"/>
      <c r="L32" s="27"/>
      <c r="M32" s="2"/>
      <c r="N32" s="2"/>
    </row>
    <row r="33" spans="1:14" ht="17" customHeight="1" x14ac:dyDescent="0.2">
      <c r="A33" s="1898" t="s">
        <v>391</v>
      </c>
      <c r="B33" s="1899"/>
      <c r="C33" s="1899"/>
      <c r="D33" s="781"/>
      <c r="E33" s="750">
        <f>(E29*75)/100</f>
        <v>320.25</v>
      </c>
      <c r="F33" s="234">
        <f t="shared" si="0"/>
        <v>13.34375</v>
      </c>
      <c r="G33" s="310">
        <f>(G29*75)/100</f>
        <v>373.5</v>
      </c>
      <c r="H33" s="754">
        <f t="shared" si="1"/>
        <v>15.5625</v>
      </c>
      <c r="I33" s="232"/>
      <c r="K33" s="53"/>
      <c r="L33" s="312"/>
      <c r="M33" s="2"/>
      <c r="N33" s="2"/>
    </row>
    <row r="34" spans="1:14" ht="17" customHeight="1" thickBot="1" x14ac:dyDescent="0.25">
      <c r="A34" s="1791" t="s">
        <v>59</v>
      </c>
      <c r="B34" s="1792"/>
      <c r="C34" s="1792"/>
      <c r="D34" s="784"/>
      <c r="E34" s="751">
        <f>E29-E33</f>
        <v>106.75</v>
      </c>
      <c r="F34" s="235">
        <f t="shared" si="0"/>
        <v>4.447916666666667</v>
      </c>
      <c r="G34" s="574">
        <f>G29-G33</f>
        <v>124.5</v>
      </c>
      <c r="H34" s="755">
        <f t="shared" si="1"/>
        <v>5.1875</v>
      </c>
      <c r="I34" s="232"/>
      <c r="K34" s="54"/>
      <c r="L34" s="27"/>
      <c r="M34" s="2"/>
      <c r="N34" s="2"/>
    </row>
    <row r="35" spans="1:14" ht="17" customHeight="1" thickBot="1" x14ac:dyDescent="0.25">
      <c r="A35" s="82"/>
      <c r="B35" s="82"/>
      <c r="C35" s="82"/>
      <c r="D35" s="107"/>
      <c r="E35" s="107"/>
      <c r="F35" s="107"/>
      <c r="G35" s="752"/>
      <c r="H35" s="232"/>
      <c r="I35" s="232"/>
      <c r="K35" s="55"/>
      <c r="L35" s="27"/>
      <c r="M35" s="2"/>
      <c r="N35" s="2"/>
    </row>
    <row r="36" spans="1:14" ht="17" customHeight="1" thickBot="1" x14ac:dyDescent="0.25">
      <c r="A36" s="1099" t="s">
        <v>60</v>
      </c>
      <c r="B36" s="1100"/>
      <c r="C36" s="1100"/>
      <c r="D36" s="1100"/>
      <c r="E36" s="1100"/>
      <c r="F36" s="1100"/>
      <c r="G36" s="1100"/>
      <c r="H36" s="1110"/>
      <c r="I36" s="232"/>
      <c r="K36" s="55"/>
      <c r="L36" s="27"/>
      <c r="M36" s="2"/>
      <c r="N36" s="2"/>
    </row>
    <row r="37" spans="1:14" ht="17" customHeight="1" x14ac:dyDescent="0.2">
      <c r="A37" s="1797">
        <v>2018</v>
      </c>
      <c r="B37" s="1798"/>
      <c r="C37" s="1798"/>
      <c r="D37" s="1798"/>
      <c r="E37" s="1798"/>
      <c r="F37" s="1798"/>
      <c r="G37" s="1799"/>
      <c r="H37" s="127" t="s">
        <v>68</v>
      </c>
      <c r="I37" s="232"/>
      <c r="K37" s="55"/>
      <c r="L37" s="27"/>
      <c r="M37" s="2"/>
      <c r="N37" s="2"/>
    </row>
    <row r="38" spans="1:14" ht="26" customHeight="1" x14ac:dyDescent="0.2">
      <c r="A38" s="1793" t="s">
        <v>142</v>
      </c>
      <c r="B38" s="1794"/>
      <c r="C38" s="1794"/>
      <c r="D38" s="1794"/>
      <c r="E38" s="665"/>
      <c r="F38" s="665"/>
      <c r="G38" s="785"/>
      <c r="H38" s="128">
        <v>1.94</v>
      </c>
      <c r="J38" s="27"/>
      <c r="K38" s="27"/>
      <c r="L38" s="2"/>
      <c r="M38" s="2"/>
    </row>
    <row r="39" spans="1:14" ht="24" customHeight="1" thickBot="1" x14ac:dyDescent="0.25">
      <c r="A39" s="1795" t="s">
        <v>61</v>
      </c>
      <c r="B39" s="1796"/>
      <c r="C39" s="1796"/>
      <c r="D39" s="1796"/>
      <c r="E39" s="666"/>
      <c r="F39" s="666"/>
      <c r="G39" s="786"/>
      <c r="H39" s="129">
        <v>3.54</v>
      </c>
      <c r="I39" s="780"/>
      <c r="J39" s="780"/>
      <c r="K39" s="2"/>
      <c r="L39" s="2"/>
      <c r="M39" s="2"/>
    </row>
    <row r="40" spans="1:14" ht="17.25" customHeight="1" x14ac:dyDescent="0.2">
      <c r="A40" s="1800" t="s">
        <v>465</v>
      </c>
      <c r="B40" s="1800"/>
      <c r="C40" s="1800"/>
      <c r="D40" s="1800"/>
      <c r="E40" s="667"/>
      <c r="F40" s="667"/>
      <c r="G40" s="47"/>
      <c r="H40" s="778"/>
      <c r="I40" s="779"/>
      <c r="J40" s="780"/>
      <c r="K40" s="780"/>
      <c r="L40" s="2"/>
      <c r="M40" s="2"/>
      <c r="N40" s="2"/>
    </row>
    <row r="41" spans="1:14" ht="12.75" customHeight="1" thickBot="1" x14ac:dyDescent="0.25">
      <c r="A41" s="959"/>
      <c r="B41" s="959"/>
      <c r="C41" s="959"/>
      <c r="D41" s="959"/>
      <c r="E41" s="959"/>
      <c r="F41" s="959"/>
      <c r="G41" s="959"/>
      <c r="H41" s="959"/>
      <c r="I41" s="779"/>
      <c r="J41" s="780"/>
      <c r="K41" s="780"/>
      <c r="L41" s="2"/>
      <c r="M41" s="2"/>
      <c r="N41" s="2"/>
    </row>
    <row r="42" spans="1:14" ht="17" customHeight="1" thickBot="1" x14ac:dyDescent="0.25">
      <c r="A42" s="1099" t="s">
        <v>65</v>
      </c>
      <c r="B42" s="1100"/>
      <c r="C42" s="1100"/>
      <c r="D42" s="1100"/>
      <c r="E42" s="1100"/>
      <c r="F42" s="1100"/>
      <c r="G42" s="1100"/>
      <c r="H42" s="1110"/>
      <c r="I42" s="778"/>
      <c r="J42" s="778"/>
      <c r="K42" s="778"/>
    </row>
    <row r="43" spans="1:14" ht="18" customHeight="1" thickBot="1" x14ac:dyDescent="0.25">
      <c r="A43" s="1805">
        <v>2018</v>
      </c>
      <c r="B43" s="1806"/>
      <c r="C43" s="1806"/>
      <c r="D43" s="1806"/>
      <c r="E43" s="1806"/>
      <c r="F43" s="1806"/>
      <c r="G43" s="1807"/>
      <c r="H43" s="106" t="s">
        <v>68</v>
      </c>
      <c r="I43" s="778"/>
      <c r="J43" s="778"/>
    </row>
    <row r="44" spans="1:14" ht="18.75" customHeight="1" x14ac:dyDescent="0.2">
      <c r="A44" s="1808" t="s">
        <v>66</v>
      </c>
      <c r="B44" s="1809"/>
      <c r="C44" s="1809"/>
      <c r="D44" s="1809"/>
      <c r="E44" s="1809"/>
      <c r="F44" s="1809"/>
      <c r="G44" s="1810"/>
      <c r="H44" s="130">
        <v>860</v>
      </c>
      <c r="I44" s="959"/>
      <c r="J44" s="959"/>
    </row>
    <row r="45" spans="1:14" ht="24" customHeight="1" thickBot="1" x14ac:dyDescent="0.25">
      <c r="A45" s="1811" t="s">
        <v>67</v>
      </c>
      <c r="B45" s="1812"/>
      <c r="C45" s="1812"/>
      <c r="D45" s="1812"/>
      <c r="E45" s="1812"/>
      <c r="F45" s="1812"/>
      <c r="G45" s="1813"/>
      <c r="H45" s="129">
        <v>573</v>
      </c>
    </row>
    <row r="46" spans="1:14" ht="19" customHeight="1" x14ac:dyDescent="0.2">
      <c r="A46" s="1804" t="s">
        <v>244</v>
      </c>
      <c r="B46" s="1804"/>
      <c r="C46" s="1804"/>
      <c r="D46" s="1804"/>
      <c r="E46" s="1804"/>
      <c r="F46" s="1804"/>
      <c r="G46" s="1804"/>
      <c r="H46" s="1804"/>
    </row>
    <row r="47" spans="1:14" ht="17" customHeight="1" x14ac:dyDescent="0.2">
      <c r="A47" s="787"/>
      <c r="B47" s="787"/>
      <c r="C47" s="787"/>
      <c r="D47" s="787"/>
      <c r="E47" s="787"/>
      <c r="F47" s="787"/>
      <c r="G47" s="787"/>
    </row>
    <row r="48" spans="1:14" ht="17" customHeight="1" thickBot="1" x14ac:dyDescent="0.25">
      <c r="A48" s="959"/>
      <c r="B48" s="959"/>
      <c r="C48" s="959"/>
      <c r="D48" s="959"/>
      <c r="E48" s="959"/>
      <c r="F48" s="959"/>
      <c r="G48" s="959"/>
      <c r="H48" s="959"/>
    </row>
    <row r="49" spans="1:16" s="38" customFormat="1" ht="16" customHeight="1" x14ac:dyDescent="0.2">
      <c r="A49" s="1164" t="s">
        <v>202</v>
      </c>
      <c r="B49" s="1165"/>
      <c r="C49" s="1165"/>
      <c r="D49" s="1165"/>
      <c r="E49" s="1165"/>
      <c r="F49" s="1165"/>
      <c r="G49" s="1165"/>
      <c r="H49" s="1166"/>
    </row>
    <row r="50" spans="1:16" ht="34.5" customHeight="1" thickBot="1" x14ac:dyDescent="0.25">
      <c r="A50" s="1801" t="s">
        <v>383</v>
      </c>
      <c r="B50" s="1802"/>
      <c r="C50" s="1802"/>
      <c r="D50" s="1802"/>
      <c r="E50" s="1802"/>
      <c r="F50" s="1802"/>
      <c r="G50" s="1802"/>
      <c r="H50" s="1803"/>
    </row>
    <row r="51" spans="1:16" ht="17" customHeight="1" x14ac:dyDescent="0.2">
      <c r="A51" s="1906" t="s">
        <v>28</v>
      </c>
      <c r="B51" s="1907"/>
      <c r="C51" s="1907"/>
      <c r="D51" s="1908"/>
      <c r="E51" s="1906" t="s">
        <v>29</v>
      </c>
      <c r="F51" s="1907"/>
      <c r="G51" s="1907"/>
      <c r="H51" s="1908"/>
      <c r="I51" s="959"/>
      <c r="J51" s="959"/>
    </row>
    <row r="52" spans="1:16" ht="17" customHeight="1" x14ac:dyDescent="0.2">
      <c r="A52" s="1909">
        <v>40999</v>
      </c>
      <c r="B52" s="1910"/>
      <c r="C52" s="1910"/>
      <c r="D52" s="1911"/>
      <c r="E52" s="1921">
        <v>0</v>
      </c>
      <c r="F52" s="1922"/>
      <c r="G52" s="1922"/>
      <c r="H52" s="1923"/>
      <c r="I52" s="778"/>
      <c r="J52" s="778"/>
      <c r="K52" s="778"/>
    </row>
    <row r="53" spans="1:16" ht="18" customHeight="1" x14ac:dyDescent="0.2">
      <c r="A53" s="1909">
        <v>41000</v>
      </c>
      <c r="B53" s="1910"/>
      <c r="C53" s="1910"/>
      <c r="D53" s="1911"/>
      <c r="E53" s="1921">
        <v>1.304</v>
      </c>
      <c r="F53" s="1922"/>
      <c r="G53" s="1922"/>
      <c r="H53" s="1923"/>
      <c r="I53" s="788"/>
      <c r="J53" s="788"/>
      <c r="K53" s="788"/>
    </row>
    <row r="54" spans="1:16" ht="14" customHeight="1" x14ac:dyDescent="0.2">
      <c r="A54" s="1909">
        <v>41365</v>
      </c>
      <c r="B54" s="1910"/>
      <c r="C54" s="1910"/>
      <c r="D54" s="1911"/>
      <c r="E54" s="1921">
        <v>1.304</v>
      </c>
      <c r="F54" s="1922"/>
      <c r="G54" s="1922"/>
      <c r="H54" s="1923"/>
      <c r="I54" s="1817"/>
      <c r="J54" s="1818"/>
      <c r="K54" s="1818"/>
      <c r="L54" s="1818"/>
      <c r="M54" s="1818"/>
      <c r="N54" s="1818"/>
      <c r="O54" s="1818"/>
      <c r="P54" s="1818"/>
    </row>
    <row r="55" spans="1:16" ht="17" customHeight="1" x14ac:dyDescent="0.2">
      <c r="A55" s="1909">
        <v>41730</v>
      </c>
      <c r="B55" s="1910"/>
      <c r="C55" s="1910"/>
      <c r="D55" s="1911"/>
      <c r="E55" s="1921">
        <v>1.7161999999999999</v>
      </c>
      <c r="F55" s="1922"/>
      <c r="G55" s="1922"/>
      <c r="H55" s="1923"/>
      <c r="I55" s="1817"/>
      <c r="J55" s="1818"/>
      <c r="K55" s="1818"/>
      <c r="L55" s="1818"/>
      <c r="M55" s="1818"/>
      <c r="N55" s="1818"/>
      <c r="O55" s="1818"/>
      <c r="P55" s="1818"/>
    </row>
    <row r="56" spans="1:16" ht="17" customHeight="1" x14ac:dyDescent="0.2">
      <c r="A56" s="1912">
        <v>42095</v>
      </c>
      <c r="B56" s="1913"/>
      <c r="C56" s="1913"/>
      <c r="D56" s="1914"/>
      <c r="E56" s="1921">
        <v>2.1745000000000001</v>
      </c>
      <c r="F56" s="1922"/>
      <c r="G56" s="1922"/>
      <c r="H56" s="1923"/>
      <c r="I56" s="1817"/>
      <c r="J56" s="1818"/>
      <c r="K56" s="1818"/>
      <c r="L56" s="1818"/>
      <c r="M56" s="1818"/>
      <c r="N56" s="1818"/>
      <c r="O56" s="1818"/>
      <c r="P56" s="1818"/>
    </row>
    <row r="57" spans="1:16" ht="17" customHeight="1" x14ac:dyDescent="0.2">
      <c r="A57" s="1909">
        <v>42461</v>
      </c>
      <c r="B57" s="1910"/>
      <c r="C57" s="1910"/>
      <c r="D57" s="1911"/>
      <c r="E57" s="1921">
        <v>2.9882</v>
      </c>
      <c r="F57" s="1922"/>
      <c r="G57" s="1922"/>
      <c r="H57" s="1923"/>
      <c r="I57" s="1817"/>
      <c r="J57" s="1818"/>
      <c r="K57" s="1818"/>
      <c r="L57" s="1818"/>
      <c r="M57" s="1818"/>
      <c r="N57" s="1818"/>
      <c r="O57" s="1818"/>
      <c r="P57" s="1818"/>
    </row>
    <row r="58" spans="1:16" ht="17" customHeight="1" x14ac:dyDescent="0.2">
      <c r="A58" s="1924">
        <v>42826</v>
      </c>
      <c r="B58" s="1925"/>
      <c r="C58" s="1925"/>
      <c r="D58" s="1926"/>
      <c r="E58" s="1921">
        <v>4.2446000000000002</v>
      </c>
      <c r="F58" s="1922"/>
      <c r="G58" s="1922"/>
      <c r="H58" s="1923"/>
      <c r="I58" s="1817"/>
      <c r="J58" s="1818"/>
      <c r="K58" s="1818"/>
      <c r="L58" s="1818"/>
      <c r="M58" s="1818"/>
      <c r="N58" s="1818"/>
      <c r="O58" s="1818"/>
      <c r="P58" s="1818"/>
    </row>
    <row r="59" spans="1:16" ht="17" customHeight="1" x14ac:dyDescent="0.2">
      <c r="A59" s="1909">
        <v>43070</v>
      </c>
      <c r="B59" s="1910"/>
      <c r="C59" s="1910"/>
      <c r="D59" s="1911"/>
      <c r="E59" s="1921">
        <v>5.7702999999999998</v>
      </c>
      <c r="F59" s="1922"/>
      <c r="G59" s="1922"/>
      <c r="H59" s="1923"/>
      <c r="I59" s="1817"/>
      <c r="J59" s="1818"/>
      <c r="K59" s="1818"/>
      <c r="L59" s="1818"/>
      <c r="M59" s="1818"/>
      <c r="N59" s="1818"/>
      <c r="O59" s="1818"/>
      <c r="P59" s="1818"/>
    </row>
    <row r="60" spans="1:16" ht="17" customHeight="1" thickBot="1" x14ac:dyDescent="0.25">
      <c r="A60" s="1915">
        <v>43191</v>
      </c>
      <c r="B60" s="1916"/>
      <c r="C60" s="1916"/>
      <c r="D60" s="1917"/>
      <c r="E60" s="1918">
        <v>6.9683000000000002</v>
      </c>
      <c r="F60" s="1919"/>
      <c r="G60" s="1919"/>
      <c r="H60" s="1920"/>
      <c r="I60" s="1817"/>
      <c r="J60" s="1818"/>
      <c r="K60" s="1818"/>
      <c r="L60" s="1818"/>
      <c r="M60" s="1818"/>
      <c r="N60" s="1818"/>
      <c r="O60" s="1818"/>
      <c r="P60" s="1818"/>
    </row>
    <row r="61" spans="1:16" ht="17" customHeight="1" thickBot="1" x14ac:dyDescent="0.25">
      <c r="A61" s="957"/>
      <c r="B61" s="957"/>
      <c r="C61" s="957"/>
      <c r="D61" s="957"/>
      <c r="E61" s="957"/>
      <c r="F61" s="957"/>
      <c r="G61" s="957"/>
      <c r="H61" s="957"/>
      <c r="I61" s="1817"/>
      <c r="J61" s="1818"/>
      <c r="K61" s="1818"/>
      <c r="L61" s="1818"/>
      <c r="M61" s="1818"/>
      <c r="N61" s="1818"/>
      <c r="O61" s="1818"/>
      <c r="P61" s="1818"/>
    </row>
    <row r="62" spans="1:16" ht="17" customHeight="1" thickBot="1" x14ac:dyDescent="0.25">
      <c r="A62" s="1927" t="s">
        <v>76</v>
      </c>
      <c r="B62" s="1928"/>
      <c r="C62" s="1928"/>
      <c r="D62" s="1928"/>
      <c r="E62" s="1928"/>
      <c r="F62" s="1928"/>
      <c r="G62" s="1928"/>
      <c r="H62" s="1929"/>
      <c r="I62" s="1817"/>
      <c r="J62" s="1818"/>
      <c r="K62" s="1818"/>
      <c r="L62" s="1818"/>
      <c r="M62" s="1818"/>
      <c r="N62" s="1818"/>
      <c r="O62" s="1818"/>
      <c r="P62" s="1818"/>
    </row>
    <row r="63" spans="1:16" ht="17" customHeight="1" thickBot="1" x14ac:dyDescent="0.25">
      <c r="A63" s="1883" t="s">
        <v>77</v>
      </c>
      <c r="B63" s="1884"/>
      <c r="C63" s="1884"/>
      <c r="D63" s="1884"/>
      <c r="E63" s="1884"/>
      <c r="F63" s="1884"/>
      <c r="G63" s="1884"/>
      <c r="H63" s="1885"/>
      <c r="I63" s="1817"/>
      <c r="J63" s="1818"/>
      <c r="K63" s="1818"/>
      <c r="L63" s="1818"/>
      <c r="M63" s="1818"/>
      <c r="N63" s="1818"/>
      <c r="O63" s="1818"/>
      <c r="P63" s="1818"/>
    </row>
    <row r="64" spans="1:16" ht="22" customHeight="1" x14ac:dyDescent="0.2">
      <c r="A64" s="1889" t="s">
        <v>258</v>
      </c>
      <c r="B64" s="1890"/>
      <c r="C64" s="1890"/>
      <c r="D64" s="1890"/>
      <c r="E64" s="1890"/>
      <c r="F64" s="1890"/>
      <c r="G64" s="1890"/>
      <c r="H64" s="1891"/>
      <c r="I64" s="958"/>
      <c r="J64" s="958"/>
    </row>
    <row r="65" spans="1:10" ht="25" customHeight="1" x14ac:dyDescent="0.2">
      <c r="A65" s="1892"/>
      <c r="B65" s="1893"/>
      <c r="C65" s="1893"/>
      <c r="D65" s="1893"/>
      <c r="E65" s="1893"/>
      <c r="F65" s="1893"/>
      <c r="G65" s="1893"/>
      <c r="H65" s="1894"/>
      <c r="I65" s="1958"/>
      <c r="J65" s="1958"/>
    </row>
    <row r="66" spans="1:10" x14ac:dyDescent="0.2">
      <c r="A66" s="1892"/>
      <c r="B66" s="1893"/>
      <c r="C66" s="1893"/>
      <c r="D66" s="1893"/>
      <c r="E66" s="1893"/>
      <c r="F66" s="1893"/>
      <c r="G66" s="1893"/>
      <c r="H66" s="1894"/>
      <c r="I66" s="1959"/>
      <c r="J66" s="1959"/>
    </row>
    <row r="67" spans="1:10" ht="15" customHeight="1" x14ac:dyDescent="0.2">
      <c r="A67" s="1892"/>
      <c r="B67" s="1893"/>
      <c r="C67" s="1893"/>
      <c r="D67" s="1893"/>
      <c r="E67" s="1893"/>
      <c r="F67" s="1893"/>
      <c r="G67" s="1893"/>
      <c r="H67" s="1894"/>
      <c r="I67" s="1960"/>
      <c r="J67" s="1960"/>
    </row>
    <row r="68" spans="1:10" ht="16" thickBot="1" x14ac:dyDescent="0.25">
      <c r="A68" s="1895"/>
      <c r="B68" s="1896"/>
      <c r="C68" s="1896"/>
      <c r="D68" s="1896"/>
      <c r="E68" s="1896"/>
      <c r="F68" s="1896"/>
      <c r="G68" s="1896"/>
      <c r="H68" s="1897"/>
      <c r="I68" s="1960"/>
      <c r="J68" s="1960"/>
    </row>
    <row r="69" spans="1:10" ht="16" thickBot="1" x14ac:dyDescent="0.25">
      <c r="A69" s="960"/>
      <c r="B69" s="960"/>
      <c r="C69" s="960"/>
      <c r="D69" s="960"/>
      <c r="E69" s="960"/>
      <c r="F69" s="960"/>
      <c r="G69" s="960"/>
      <c r="H69" s="960"/>
      <c r="I69" s="1960"/>
      <c r="J69" s="1960"/>
    </row>
    <row r="70" spans="1:10" ht="16" thickBot="1" x14ac:dyDescent="0.25">
      <c r="A70" s="1883" t="s">
        <v>78</v>
      </c>
      <c r="B70" s="1884"/>
      <c r="C70" s="1884"/>
      <c r="D70" s="1884"/>
      <c r="E70" s="1884"/>
      <c r="F70" s="1884"/>
      <c r="G70" s="1884"/>
      <c r="H70" s="1885"/>
      <c r="I70" s="1960"/>
      <c r="J70" s="1960"/>
    </row>
    <row r="71" spans="1:10" ht="35.25" customHeight="1" x14ac:dyDescent="0.2">
      <c r="A71" s="1889" t="s">
        <v>147</v>
      </c>
      <c r="B71" s="1890"/>
      <c r="C71" s="1890"/>
      <c r="D71" s="1890"/>
      <c r="E71" s="1890"/>
      <c r="F71" s="1890"/>
      <c r="G71" s="1890"/>
      <c r="H71" s="1891"/>
      <c r="I71" s="1960"/>
      <c r="J71" s="1960"/>
    </row>
    <row r="72" spans="1:10" ht="16" thickBot="1" x14ac:dyDescent="0.25">
      <c r="A72" s="1895"/>
      <c r="B72" s="1896"/>
      <c r="C72" s="1896"/>
      <c r="D72" s="1896"/>
      <c r="E72" s="1896"/>
      <c r="F72" s="1896"/>
      <c r="G72" s="1896"/>
      <c r="H72" s="1897"/>
      <c r="I72" s="1961"/>
      <c r="J72" s="1961"/>
    </row>
    <row r="73" spans="1:10" ht="16" thickBot="1" x14ac:dyDescent="0.25">
      <c r="A73" s="961"/>
      <c r="B73" s="961"/>
      <c r="C73" s="961"/>
      <c r="D73" s="961"/>
      <c r="E73" s="961"/>
      <c r="F73" s="961"/>
      <c r="G73" s="961"/>
      <c r="H73" s="961"/>
      <c r="I73" s="1959"/>
      <c r="J73" s="1959"/>
    </row>
    <row r="74" spans="1:10" ht="15" customHeight="1" thickBot="1" x14ac:dyDescent="0.25">
      <c r="A74" s="1883" t="s">
        <v>79</v>
      </c>
      <c r="B74" s="1884"/>
      <c r="C74" s="1884"/>
      <c r="D74" s="1884"/>
      <c r="E74" s="1884"/>
      <c r="F74" s="1884"/>
      <c r="G74" s="1884"/>
      <c r="H74" s="1885"/>
      <c r="I74" s="1960"/>
      <c r="J74" s="1960"/>
    </row>
    <row r="75" spans="1:10" ht="25.5" customHeight="1" thickBot="1" x14ac:dyDescent="0.25">
      <c r="A75" s="306" t="s">
        <v>82</v>
      </c>
      <c r="B75" s="305"/>
      <c r="C75" s="305"/>
      <c r="D75" s="305"/>
      <c r="E75" s="305"/>
      <c r="F75" s="305"/>
      <c r="G75" s="305"/>
      <c r="H75" s="307"/>
      <c r="I75" s="1960"/>
      <c r="J75" s="1960"/>
    </row>
    <row r="76" spans="1:10" ht="16" thickBot="1" x14ac:dyDescent="0.25">
      <c r="A76" s="961"/>
      <c r="B76" s="961"/>
      <c r="C76" s="961"/>
      <c r="D76" s="961"/>
      <c r="E76" s="961"/>
      <c r="F76" s="961"/>
      <c r="G76" s="961"/>
      <c r="H76" s="961"/>
      <c r="I76" s="1962"/>
      <c r="J76" s="1962"/>
    </row>
    <row r="77" spans="1:10" ht="16" thickBot="1" x14ac:dyDescent="0.25">
      <c r="A77" s="1883" t="s">
        <v>80</v>
      </c>
      <c r="B77" s="1884"/>
      <c r="C77" s="1884"/>
      <c r="D77" s="1884"/>
      <c r="E77" s="1884"/>
      <c r="F77" s="1884"/>
      <c r="G77" s="1884"/>
      <c r="H77" s="1885"/>
      <c r="I77" s="1959"/>
      <c r="J77" s="1959"/>
    </row>
    <row r="78" spans="1:10" ht="16" thickBot="1" x14ac:dyDescent="0.25">
      <c r="A78" s="1886" t="s">
        <v>83</v>
      </c>
      <c r="B78" s="1887"/>
      <c r="C78" s="1887"/>
      <c r="D78" s="1887"/>
      <c r="E78" s="1887"/>
      <c r="F78" s="1887"/>
      <c r="G78" s="1887"/>
      <c r="H78" s="1888"/>
      <c r="I78" s="1963"/>
      <c r="J78" s="1963"/>
    </row>
    <row r="79" spans="1:10" ht="16" thickBot="1" x14ac:dyDescent="0.25">
      <c r="I79" s="1962"/>
      <c r="J79" s="1962"/>
    </row>
    <row r="80" spans="1:10" ht="16" thickBot="1" x14ac:dyDescent="0.25">
      <c r="A80" s="1883" t="s">
        <v>81</v>
      </c>
      <c r="B80" s="1884"/>
      <c r="C80" s="1884"/>
      <c r="D80" s="1884"/>
      <c r="E80" s="1884"/>
      <c r="F80" s="1884"/>
      <c r="G80" s="1884"/>
      <c r="H80" s="1885"/>
      <c r="I80" s="1959"/>
      <c r="J80" s="1959"/>
    </row>
    <row r="81" spans="1:10" ht="31.5" customHeight="1" x14ac:dyDescent="0.2">
      <c r="A81" s="1889" t="s">
        <v>406</v>
      </c>
      <c r="B81" s="1890"/>
      <c r="C81" s="1890"/>
      <c r="D81" s="1890"/>
      <c r="E81" s="1890"/>
      <c r="F81" s="1890"/>
      <c r="G81" s="1890"/>
      <c r="H81" s="1891"/>
      <c r="I81" s="1964"/>
      <c r="J81" s="1963"/>
    </row>
    <row r="82" spans="1:10" x14ac:dyDescent="0.2">
      <c r="A82" s="1892"/>
      <c r="B82" s="1893"/>
      <c r="C82" s="1893"/>
      <c r="D82" s="1893"/>
      <c r="E82" s="1893"/>
      <c r="F82" s="1893"/>
      <c r="G82" s="1893"/>
      <c r="H82" s="1894"/>
      <c r="I82" s="1965"/>
      <c r="J82" s="1965"/>
    </row>
    <row r="83" spans="1:10" ht="16" thickBot="1" x14ac:dyDescent="0.25">
      <c r="A83" s="1895"/>
      <c r="B83" s="1896"/>
      <c r="C83" s="1896"/>
      <c r="D83" s="1896"/>
      <c r="E83" s="1896"/>
      <c r="F83" s="1896"/>
      <c r="G83" s="1896"/>
      <c r="H83" s="1897"/>
      <c r="I83" s="1959"/>
      <c r="J83" s="1959"/>
    </row>
    <row r="84" spans="1:10" ht="7" customHeight="1" x14ac:dyDescent="0.2">
      <c r="I84" s="1960"/>
      <c r="J84" s="1960"/>
    </row>
    <row r="85" spans="1:10" x14ac:dyDescent="0.2">
      <c r="I85" s="1960"/>
      <c r="J85" s="1960"/>
    </row>
    <row r="86" spans="1:10" ht="22" customHeight="1" x14ac:dyDescent="0.2">
      <c r="I86" s="1960"/>
      <c r="J86" s="1960"/>
    </row>
  </sheetData>
  <sheetProtection sheet="1" objects="1" scenarios="1"/>
  <mergeCells count="99">
    <mergeCell ref="E59:H59"/>
    <mergeCell ref="A74:H74"/>
    <mergeCell ref="A64:H68"/>
    <mergeCell ref="A62:H62"/>
    <mergeCell ref="A63:H63"/>
    <mergeCell ref="A70:H70"/>
    <mergeCell ref="A71:H72"/>
    <mergeCell ref="A54:D54"/>
    <mergeCell ref="A55:D55"/>
    <mergeCell ref="A56:D56"/>
    <mergeCell ref="A60:D60"/>
    <mergeCell ref="E51:H51"/>
    <mergeCell ref="E60:H60"/>
    <mergeCell ref="A57:D57"/>
    <mergeCell ref="E57:H57"/>
    <mergeCell ref="A58:D58"/>
    <mergeCell ref="E58:H58"/>
    <mergeCell ref="E52:H52"/>
    <mergeCell ref="E53:H53"/>
    <mergeCell ref="E54:H54"/>
    <mergeCell ref="E55:H55"/>
    <mergeCell ref="E56:H56"/>
    <mergeCell ref="A59:D59"/>
    <mergeCell ref="A77:H77"/>
    <mergeCell ref="A80:H80"/>
    <mergeCell ref="A78:H78"/>
    <mergeCell ref="A81:H83"/>
    <mergeCell ref="I27:J27"/>
    <mergeCell ref="A30:C30"/>
    <mergeCell ref="A29:C29"/>
    <mergeCell ref="E27:F27"/>
    <mergeCell ref="G27:H27"/>
    <mergeCell ref="A27:D28"/>
    <mergeCell ref="A33:C33"/>
    <mergeCell ref="A32:C32"/>
    <mergeCell ref="A31:C31"/>
    <mergeCell ref="A51:D51"/>
    <mergeCell ref="A52:D52"/>
    <mergeCell ref="A53:D53"/>
    <mergeCell ref="B9:C9"/>
    <mergeCell ref="A19:H19"/>
    <mergeCell ref="B20:D20"/>
    <mergeCell ref="I26:J26"/>
    <mergeCell ref="A20:A21"/>
    <mergeCell ref="I23:J24"/>
    <mergeCell ref="E22:H22"/>
    <mergeCell ref="I25:J25"/>
    <mergeCell ref="B21:D21"/>
    <mergeCell ref="E23:H23"/>
    <mergeCell ref="B22:D22"/>
    <mergeCell ref="B23:D23"/>
    <mergeCell ref="A26:H26"/>
    <mergeCell ref="E24:H24"/>
    <mergeCell ref="B24:D24"/>
    <mergeCell ref="A12:H12"/>
    <mergeCell ref="A13:G13"/>
    <mergeCell ref="K23:K24"/>
    <mergeCell ref="E20:H20"/>
    <mergeCell ref="E21:H21"/>
    <mergeCell ref="A14:G14"/>
    <mergeCell ref="A15:G15"/>
    <mergeCell ref="A16:G17"/>
    <mergeCell ref="H16:H17"/>
    <mergeCell ref="F7:G7"/>
    <mergeCell ref="B8:C8"/>
    <mergeCell ref="A5:A6"/>
    <mergeCell ref="B5:C6"/>
    <mergeCell ref="H5:H6"/>
    <mergeCell ref="F5:G6"/>
    <mergeCell ref="F8:G8"/>
    <mergeCell ref="A3:H3"/>
    <mergeCell ref="A1:H1"/>
    <mergeCell ref="I54:P63"/>
    <mergeCell ref="A2:J2"/>
    <mergeCell ref="I1:J1"/>
    <mergeCell ref="I3:J9"/>
    <mergeCell ref="A10:H10"/>
    <mergeCell ref="A11:J11"/>
    <mergeCell ref="I10:J10"/>
    <mergeCell ref="D5:E6"/>
    <mergeCell ref="D7:E7"/>
    <mergeCell ref="D8:E8"/>
    <mergeCell ref="D9:E9"/>
    <mergeCell ref="B4:H4"/>
    <mergeCell ref="F9:G9"/>
    <mergeCell ref="B7:C7"/>
    <mergeCell ref="A40:D40"/>
    <mergeCell ref="A49:H49"/>
    <mergeCell ref="A50:H50"/>
    <mergeCell ref="A46:H46"/>
    <mergeCell ref="A42:H42"/>
    <mergeCell ref="A43:G43"/>
    <mergeCell ref="A44:G44"/>
    <mergeCell ref="A45:G45"/>
    <mergeCell ref="A34:C34"/>
    <mergeCell ref="A38:D38"/>
    <mergeCell ref="A39:D39"/>
    <mergeCell ref="A36:H36"/>
    <mergeCell ref="A37:G37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2" manualBreakCount="2">
    <brk id="34" max="16383" man="1"/>
    <brk id="6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58"/>
  <sheetViews>
    <sheetView view="pageBreakPreview" workbookViewId="0">
      <selection activeCell="T147" sqref="T147"/>
    </sheetView>
  </sheetViews>
  <sheetFormatPr baseColWidth="10" defaultColWidth="8.83203125" defaultRowHeight="15" x14ac:dyDescent="0.2"/>
  <cols>
    <col min="1" max="1" width="8.83203125" style="13"/>
    <col min="2" max="2" width="8.83203125" style="136" customWidth="1"/>
    <col min="3" max="3" width="12.33203125" style="13" hidden="1" customWidth="1"/>
    <col min="4" max="4" width="12.33203125" style="12" bestFit="1" customWidth="1"/>
    <col min="5" max="5" width="12.83203125" style="12" hidden="1" customWidth="1"/>
    <col min="6" max="6" width="12.33203125" style="12" bestFit="1" customWidth="1"/>
    <col min="7" max="7" width="12.83203125" style="12" hidden="1" customWidth="1"/>
    <col min="8" max="8" width="12.33203125" style="12" bestFit="1" customWidth="1"/>
    <col min="9" max="9" width="12.83203125" style="12" hidden="1" customWidth="1"/>
    <col min="10" max="10" width="12.33203125" style="12" bestFit="1" customWidth="1"/>
    <col min="11" max="11" width="15" style="12" hidden="1" customWidth="1"/>
    <col min="12" max="12" width="12.33203125" style="12" bestFit="1" customWidth="1"/>
    <col min="13" max="13" width="9.6640625" hidden="1" customWidth="1"/>
    <col min="14" max="14" width="20" style="14" hidden="1" customWidth="1"/>
    <col min="15" max="15" width="13.83203125" style="74" customWidth="1"/>
  </cols>
  <sheetData>
    <row r="1" spans="1:15" ht="40" customHeight="1" thickBot="1" x14ac:dyDescent="0.25">
      <c r="A1" s="1935" t="str">
        <f>"Månedslønninger pr. "&amp;'Løntabel gældende fra'!D1&amp;" statens takster"</f>
        <v>Månedslønninger pr. 01/04/2018 statens takster</v>
      </c>
      <c r="B1" s="1936"/>
      <c r="C1" s="1936"/>
      <c r="D1" s="1936"/>
      <c r="E1" s="1936"/>
      <c r="F1" s="1936"/>
      <c r="G1" s="1936"/>
      <c r="H1" s="1936"/>
      <c r="I1" s="1936"/>
      <c r="J1" s="1936"/>
      <c r="K1" s="1936"/>
      <c r="L1" s="1936"/>
      <c r="M1" s="1936"/>
      <c r="N1" s="1936"/>
      <c r="O1" s="1937"/>
    </row>
    <row r="2" spans="1:15" ht="18" customHeight="1" x14ac:dyDescent="0.2">
      <c r="A2" s="1938" t="s">
        <v>403</v>
      </c>
      <c r="B2" s="1939"/>
      <c r="C2" s="1939"/>
      <c r="D2" s="1939"/>
      <c r="E2" s="1939"/>
      <c r="F2" s="1939"/>
      <c r="G2" s="1939"/>
      <c r="H2" s="1939"/>
      <c r="I2" s="1939"/>
      <c r="J2" s="1939"/>
      <c r="K2" s="1939"/>
      <c r="L2" s="1939"/>
      <c r="M2" s="1939"/>
      <c r="N2" s="1939"/>
      <c r="O2" s="1940"/>
    </row>
    <row r="3" spans="1:15" ht="18" customHeight="1" x14ac:dyDescent="0.2">
      <c r="A3" s="1941" t="s">
        <v>404</v>
      </c>
      <c r="B3" s="1942"/>
      <c r="C3" s="1942"/>
      <c r="D3" s="1942"/>
      <c r="E3" s="1942"/>
      <c r="F3" s="1942"/>
      <c r="G3" s="1942"/>
      <c r="H3" s="1942"/>
      <c r="I3" s="1942"/>
      <c r="J3" s="1942"/>
      <c r="K3" s="1942"/>
      <c r="L3" s="1942"/>
      <c r="M3" s="1942"/>
      <c r="N3" s="1942"/>
      <c r="O3" s="1943"/>
    </row>
    <row r="4" spans="1:15" ht="33.75" customHeight="1" thickBot="1" x14ac:dyDescent="0.25">
      <c r="A4" s="1944"/>
      <c r="B4" s="1945"/>
      <c r="C4" s="1945"/>
      <c r="D4" s="1945"/>
      <c r="E4" s="1945"/>
      <c r="F4" s="1945"/>
      <c r="G4" s="1945"/>
      <c r="H4" s="1945"/>
      <c r="I4" s="1945"/>
      <c r="J4" s="1945"/>
      <c r="K4" s="1945"/>
      <c r="L4" s="1945"/>
      <c r="M4" s="1945"/>
      <c r="N4" s="1945"/>
      <c r="O4" s="1946"/>
    </row>
    <row r="5" spans="1:15" s="33" customFormat="1" ht="26" customHeight="1" thickBot="1" x14ac:dyDescent="0.25">
      <c r="A5" s="416" t="s">
        <v>58</v>
      </c>
      <c r="B5" s="443"/>
      <c r="C5" s="445" t="s">
        <v>112</v>
      </c>
      <c r="D5" s="416" t="s">
        <v>53</v>
      </c>
      <c r="E5" s="443" t="s">
        <v>113</v>
      </c>
      <c r="F5" s="444" t="s">
        <v>54</v>
      </c>
      <c r="G5" s="445" t="s">
        <v>114</v>
      </c>
      <c r="H5" s="416" t="s">
        <v>55</v>
      </c>
      <c r="I5" s="443" t="s">
        <v>115</v>
      </c>
      <c r="J5" s="444" t="s">
        <v>56</v>
      </c>
      <c r="K5" s="445" t="s">
        <v>116</v>
      </c>
      <c r="L5" s="416" t="s">
        <v>57</v>
      </c>
      <c r="M5" s="446"/>
      <c r="N5" s="447" t="s">
        <v>117</v>
      </c>
      <c r="O5" s="448" t="s">
        <v>118</v>
      </c>
    </row>
    <row r="6" spans="1:15" ht="20" customHeight="1" x14ac:dyDescent="0.2">
      <c r="A6" s="1933">
        <v>1</v>
      </c>
      <c r="B6" s="430" t="s">
        <v>98</v>
      </c>
      <c r="C6" s="221">
        <v>184817</v>
      </c>
      <c r="D6" s="214">
        <f>ROUND((C6*(1+'Løntabel gældende fra'!$D$7%)),0)</f>
        <v>197696</v>
      </c>
      <c r="E6" s="222">
        <v>188265</v>
      </c>
      <c r="F6" s="223">
        <f>ROUND((E6*(1+'Løntabel gældende fra'!$D$7%)),0)</f>
        <v>201384</v>
      </c>
      <c r="G6" s="221">
        <v>190650</v>
      </c>
      <c r="H6" s="214">
        <f>ROUND((G6*(1+'Løntabel gældende fra'!$D$7%)),0)</f>
        <v>203935</v>
      </c>
      <c r="I6" s="222">
        <v>194098</v>
      </c>
      <c r="J6" s="223">
        <f>ROUND((I6*(1+'Løntabel gældende fra'!$D$7%)),0)</f>
        <v>207623</v>
      </c>
      <c r="K6" s="221">
        <v>196484</v>
      </c>
      <c r="L6" s="214">
        <f>ROUND((K6*(1+'Løntabel gældende fra'!$D$7%)),0)</f>
        <v>210176</v>
      </c>
      <c r="M6" s="471"/>
      <c r="N6" s="451">
        <v>171917.38</v>
      </c>
      <c r="O6" s="228">
        <f>ROUND(N6*(1+'Løntabel gældende fra'!$D$7%),2)</f>
        <v>183897.1</v>
      </c>
    </row>
    <row r="7" spans="1:15" x14ac:dyDescent="0.2">
      <c r="A7" s="1931"/>
      <c r="B7" s="455" t="s">
        <v>99</v>
      </c>
      <c r="C7" s="460">
        <f>C6/12</f>
        <v>15401.416666666666</v>
      </c>
      <c r="D7" s="467">
        <f t="shared" ref="D7:L7" si="0">ROUND(D6/12,2)</f>
        <v>16474.669999999998</v>
      </c>
      <c r="E7" s="464">
        <f>E6/12</f>
        <v>15688.75</v>
      </c>
      <c r="F7" s="449">
        <f t="shared" si="0"/>
        <v>16782</v>
      </c>
      <c r="G7" s="460">
        <f>G6/12</f>
        <v>15887.5</v>
      </c>
      <c r="H7" s="467">
        <f t="shared" si="0"/>
        <v>16994.580000000002</v>
      </c>
      <c r="I7" s="464">
        <f>I6/12</f>
        <v>16174.833333333334</v>
      </c>
      <c r="J7" s="449">
        <f t="shared" si="0"/>
        <v>17301.919999999998</v>
      </c>
      <c r="K7" s="460">
        <f>K6/12</f>
        <v>16373.666666666666</v>
      </c>
      <c r="L7" s="467">
        <f t="shared" si="0"/>
        <v>17514.669999999998</v>
      </c>
      <c r="M7" s="472"/>
      <c r="N7" s="450"/>
      <c r="O7" s="452">
        <f>ROUND(O6/12,2)</f>
        <v>15324.76</v>
      </c>
    </row>
    <row r="8" spans="1:15" ht="16" thickBot="1" x14ac:dyDescent="0.25">
      <c r="A8" s="1932"/>
      <c r="B8" s="432" t="s">
        <v>240</v>
      </c>
      <c r="C8" s="218"/>
      <c r="D8" s="219">
        <f>ROUND(D7/160.33,2)</f>
        <v>102.75</v>
      </c>
      <c r="E8" s="220"/>
      <c r="F8" s="219">
        <f t="shared" ref="F8:O8" si="1">ROUND(F7/160.33,2)</f>
        <v>104.67</v>
      </c>
      <c r="G8" s="219">
        <f t="shared" si="1"/>
        <v>99.09</v>
      </c>
      <c r="H8" s="219">
        <f t="shared" si="1"/>
        <v>106</v>
      </c>
      <c r="I8" s="219">
        <f t="shared" si="1"/>
        <v>100.88</v>
      </c>
      <c r="J8" s="219">
        <f t="shared" si="1"/>
        <v>107.91</v>
      </c>
      <c r="K8" s="219">
        <f t="shared" si="1"/>
        <v>102.12</v>
      </c>
      <c r="L8" s="219">
        <f t="shared" si="1"/>
        <v>109.24</v>
      </c>
      <c r="M8" s="219">
        <f t="shared" si="1"/>
        <v>0</v>
      </c>
      <c r="N8" s="219">
        <f t="shared" si="1"/>
        <v>0</v>
      </c>
      <c r="O8" s="219">
        <f t="shared" si="1"/>
        <v>95.58</v>
      </c>
    </row>
    <row r="9" spans="1:15" x14ac:dyDescent="0.2">
      <c r="A9" s="1933">
        <v>2</v>
      </c>
      <c r="B9" s="430" t="s">
        <v>98</v>
      </c>
      <c r="C9" s="221">
        <v>187655</v>
      </c>
      <c r="D9" s="214">
        <f>ROUND((C9*(1+'Løntabel gældende fra'!$D$7%)),0)</f>
        <v>200731</v>
      </c>
      <c r="E9" s="222">
        <v>191187</v>
      </c>
      <c r="F9" s="223">
        <f>ROUND((E9*(1+'Løntabel gældende fra'!$D$7%)),0)</f>
        <v>204509</v>
      </c>
      <c r="G9" s="221">
        <v>193632</v>
      </c>
      <c r="H9" s="214">
        <f>ROUND((G9*(1+'Løntabel gældende fra'!$D$7%)),0)</f>
        <v>207125</v>
      </c>
      <c r="I9" s="222">
        <v>197161</v>
      </c>
      <c r="J9" s="223">
        <f>ROUND((I9*(1+'Løntabel gældende fra'!$D$7%)),0)</f>
        <v>210900</v>
      </c>
      <c r="K9" s="221">
        <v>199607</v>
      </c>
      <c r="L9" s="214">
        <f>ROUND((K9*(1+'Løntabel gældende fra'!$D$7%)),0)</f>
        <v>213516</v>
      </c>
      <c r="M9" s="473"/>
      <c r="N9" s="451">
        <v>174577.34</v>
      </c>
      <c r="O9" s="228">
        <f>ROUND(N9*(1+'Løntabel gældende fra'!$D$7%),2)</f>
        <v>186742.41</v>
      </c>
    </row>
    <row r="10" spans="1:15" x14ac:dyDescent="0.2">
      <c r="A10" s="1931"/>
      <c r="B10" s="455" t="s">
        <v>99</v>
      </c>
      <c r="C10" s="460"/>
      <c r="D10" s="467">
        <f>ROUND(D9/12,2)</f>
        <v>16727.580000000002</v>
      </c>
      <c r="E10" s="464"/>
      <c r="F10" s="449">
        <f>ROUND(F9/12,2)</f>
        <v>17042.419999999998</v>
      </c>
      <c r="G10" s="460">
        <f>G9/12</f>
        <v>16136</v>
      </c>
      <c r="H10" s="467">
        <f>ROUND(H9/12,2)</f>
        <v>17260.419999999998</v>
      </c>
      <c r="I10" s="464">
        <f>I9/12</f>
        <v>16430.083333333332</v>
      </c>
      <c r="J10" s="449">
        <f>ROUND(J9/12,2)</f>
        <v>17575</v>
      </c>
      <c r="K10" s="460">
        <f>K9/12</f>
        <v>16633.916666666668</v>
      </c>
      <c r="L10" s="467">
        <f>ROUND(L9/12,2)</f>
        <v>17793</v>
      </c>
      <c r="M10" s="472"/>
      <c r="N10" s="450"/>
      <c r="O10" s="452">
        <f>ROUND(O9/12,2)</f>
        <v>15561.87</v>
      </c>
    </row>
    <row r="11" spans="1:15" ht="16" thickBot="1" x14ac:dyDescent="0.25">
      <c r="A11" s="1932"/>
      <c r="B11" s="432" t="s">
        <v>240</v>
      </c>
      <c r="C11" s="218">
        <f>C9/12</f>
        <v>15637.916666666666</v>
      </c>
      <c r="D11" s="219">
        <f>ROUND(D10/160.33,2)</f>
        <v>104.33</v>
      </c>
      <c r="E11" s="220">
        <f>E9/12</f>
        <v>15932.25</v>
      </c>
      <c r="F11" s="219">
        <f t="shared" ref="F11:O11" si="2">ROUND(F10/160.33,2)</f>
        <v>106.3</v>
      </c>
      <c r="G11" s="219">
        <f t="shared" si="2"/>
        <v>100.64</v>
      </c>
      <c r="H11" s="219">
        <f t="shared" si="2"/>
        <v>107.66</v>
      </c>
      <c r="I11" s="219">
        <f t="shared" si="2"/>
        <v>102.48</v>
      </c>
      <c r="J11" s="219">
        <f t="shared" si="2"/>
        <v>109.62</v>
      </c>
      <c r="K11" s="219">
        <f t="shared" si="2"/>
        <v>103.75</v>
      </c>
      <c r="L11" s="219">
        <f t="shared" si="2"/>
        <v>110.98</v>
      </c>
      <c r="M11" s="219">
        <f t="shared" si="2"/>
        <v>0</v>
      </c>
      <c r="N11" s="219">
        <f t="shared" si="2"/>
        <v>0</v>
      </c>
      <c r="O11" s="219">
        <f t="shared" si="2"/>
        <v>97.06</v>
      </c>
    </row>
    <row r="12" spans="1:15" x14ac:dyDescent="0.2">
      <c r="A12" s="1933">
        <v>3</v>
      </c>
      <c r="B12" s="430" t="s">
        <v>98</v>
      </c>
      <c r="C12" s="221">
        <v>190571</v>
      </c>
      <c r="D12" s="214">
        <f>ROUND((C12*(1+'Løntabel gældende fra'!$D$7%)),0)</f>
        <v>203851</v>
      </c>
      <c r="E12" s="222">
        <v>194187</v>
      </c>
      <c r="F12" s="223">
        <f>ROUND((E12*(1+'Løntabel gældende fra'!$D$7%)),0)</f>
        <v>207719</v>
      </c>
      <c r="G12" s="221">
        <v>196692</v>
      </c>
      <c r="H12" s="214">
        <f>ROUND((G12*(1+'Løntabel gældende fra'!$D$7%)),0)</f>
        <v>210398</v>
      </c>
      <c r="I12" s="222">
        <v>200308</v>
      </c>
      <c r="J12" s="223">
        <f>ROUND((I12*(1+'Løntabel gældende fra'!$D$7%)),0)</f>
        <v>214266</v>
      </c>
      <c r="K12" s="221">
        <v>202814</v>
      </c>
      <c r="L12" s="214">
        <f>ROUND((K12*(1+'Løntabel gældende fra'!$D$7%)),0)</f>
        <v>216947</v>
      </c>
      <c r="M12" s="473"/>
      <c r="N12" s="451">
        <v>177309.48</v>
      </c>
      <c r="O12" s="228">
        <f>ROUND(N12*(1+'Løntabel gældende fra'!$D$7%),2)</f>
        <v>189664.94</v>
      </c>
    </row>
    <row r="13" spans="1:15" x14ac:dyDescent="0.2">
      <c r="A13" s="1931"/>
      <c r="B13" s="455" t="s">
        <v>99</v>
      </c>
      <c r="C13" s="460">
        <f>C12/12</f>
        <v>15880.916666666666</v>
      </c>
      <c r="D13" s="467">
        <f>ROUND(D12/12,2)</f>
        <v>16987.580000000002</v>
      </c>
      <c r="E13" s="464">
        <f>E12/12</f>
        <v>16182.25</v>
      </c>
      <c r="F13" s="449">
        <f>ROUND(F12/12,2)</f>
        <v>17309.919999999998</v>
      </c>
      <c r="G13" s="460">
        <f>G12/12</f>
        <v>16391</v>
      </c>
      <c r="H13" s="467">
        <f>ROUND(H12/12,2)</f>
        <v>17533.169999999998</v>
      </c>
      <c r="I13" s="464">
        <f>I12/12</f>
        <v>16692.333333333332</v>
      </c>
      <c r="J13" s="449">
        <f>ROUND(J12/12,2)</f>
        <v>17855.5</v>
      </c>
      <c r="K13" s="460">
        <f>K12/12</f>
        <v>16901.166666666668</v>
      </c>
      <c r="L13" s="467">
        <f>ROUND(L12/12,2)</f>
        <v>18078.919999999998</v>
      </c>
      <c r="M13" s="472"/>
      <c r="N13" s="450"/>
      <c r="O13" s="452">
        <f>ROUND(O12/12,2)</f>
        <v>15805.41</v>
      </c>
    </row>
    <row r="14" spans="1:15" ht="16" thickBot="1" x14ac:dyDescent="0.25">
      <c r="A14" s="1932"/>
      <c r="B14" s="432" t="s">
        <v>240</v>
      </c>
      <c r="C14" s="461"/>
      <c r="D14" s="219">
        <f>ROUND(D13/160.33,2)</f>
        <v>105.95</v>
      </c>
      <c r="E14" s="465"/>
      <c r="F14" s="219">
        <f t="shared" ref="F14:O14" si="3">ROUND(F13/160.33,2)</f>
        <v>107.96</v>
      </c>
      <c r="G14" s="219">
        <f t="shared" si="3"/>
        <v>102.23</v>
      </c>
      <c r="H14" s="219">
        <f t="shared" si="3"/>
        <v>109.36</v>
      </c>
      <c r="I14" s="219">
        <f t="shared" si="3"/>
        <v>104.11</v>
      </c>
      <c r="J14" s="219">
        <f t="shared" si="3"/>
        <v>111.37</v>
      </c>
      <c r="K14" s="219">
        <f t="shared" si="3"/>
        <v>105.41</v>
      </c>
      <c r="L14" s="219">
        <f t="shared" si="3"/>
        <v>112.76</v>
      </c>
      <c r="M14" s="219">
        <f t="shared" si="3"/>
        <v>0</v>
      </c>
      <c r="N14" s="219">
        <f t="shared" si="3"/>
        <v>0</v>
      </c>
      <c r="O14" s="219">
        <f t="shared" si="3"/>
        <v>98.58</v>
      </c>
    </row>
    <row r="15" spans="1:15" x14ac:dyDescent="0.2">
      <c r="A15" s="1933">
        <v>4</v>
      </c>
      <c r="B15" s="430" t="s">
        <v>98</v>
      </c>
      <c r="C15" s="221">
        <v>193567</v>
      </c>
      <c r="D15" s="214">
        <f>ROUND((C15*(1+'Løntabel gældende fra'!$D$7%)),0)</f>
        <v>207055</v>
      </c>
      <c r="E15" s="222">
        <v>197274</v>
      </c>
      <c r="F15" s="223">
        <f>ROUND((E15*(1+'Løntabel gældende fra'!$D$7%)),0)</f>
        <v>211021</v>
      </c>
      <c r="G15" s="221">
        <v>199840</v>
      </c>
      <c r="H15" s="214">
        <f>ROUND((G15*(1+'Løntabel gældende fra'!$D$7%)),0)</f>
        <v>213765</v>
      </c>
      <c r="I15" s="222">
        <v>203545</v>
      </c>
      <c r="J15" s="223">
        <f>ROUND((I15*(1+'Løntabel gældende fra'!$D$7%)),0)</f>
        <v>217729</v>
      </c>
      <c r="K15" s="221">
        <v>206110</v>
      </c>
      <c r="L15" s="214">
        <f>ROUND((K15*(1+'Løntabel gældende fra'!$D$7%)),0)</f>
        <v>220472</v>
      </c>
      <c r="M15" s="473"/>
      <c r="N15" s="451">
        <v>180117.41</v>
      </c>
      <c r="O15" s="228">
        <f>ROUND(N15*(1+'Løntabel gældende fra'!$D$7%),2)</f>
        <v>192668.53</v>
      </c>
    </row>
    <row r="16" spans="1:15" x14ac:dyDescent="0.2">
      <c r="A16" s="1931"/>
      <c r="B16" s="455" t="s">
        <v>99</v>
      </c>
      <c r="C16" s="460">
        <f>C15/12</f>
        <v>16130.583333333334</v>
      </c>
      <c r="D16" s="467">
        <f>ROUND(D15/12,2)</f>
        <v>17254.580000000002</v>
      </c>
      <c r="E16" s="464">
        <f>E15/12</f>
        <v>16439.5</v>
      </c>
      <c r="F16" s="449">
        <f>ROUND(F15/12,2)</f>
        <v>17585.080000000002</v>
      </c>
      <c r="G16" s="460">
        <f>G15/12</f>
        <v>16653.333333333332</v>
      </c>
      <c r="H16" s="467">
        <f>ROUND(H15/12,2)</f>
        <v>17813.75</v>
      </c>
      <c r="I16" s="464">
        <f>I15/12</f>
        <v>16962.083333333332</v>
      </c>
      <c r="J16" s="449">
        <f>ROUND(J15/12,2)</f>
        <v>18144.080000000002</v>
      </c>
      <c r="K16" s="460">
        <f>K15/12</f>
        <v>17175.833333333332</v>
      </c>
      <c r="L16" s="467">
        <f>ROUND(L15/12,2)</f>
        <v>18372.669999999998</v>
      </c>
      <c r="M16" s="472"/>
      <c r="N16" s="450"/>
      <c r="O16" s="452">
        <f>ROUND(O15/12,2)</f>
        <v>16055.71</v>
      </c>
    </row>
    <row r="17" spans="1:15" ht="16" thickBot="1" x14ac:dyDescent="0.25">
      <c r="A17" s="1932"/>
      <c r="B17" s="432" t="s">
        <v>240</v>
      </c>
      <c r="C17" s="461"/>
      <c r="D17" s="219">
        <f>ROUND(D16/160.33,2)</f>
        <v>107.62</v>
      </c>
      <c r="E17" s="465"/>
      <c r="F17" s="219">
        <f t="shared" ref="F17:O17" si="4">ROUND(F16/160.33,2)</f>
        <v>109.68</v>
      </c>
      <c r="G17" s="219">
        <f t="shared" si="4"/>
        <v>103.87</v>
      </c>
      <c r="H17" s="219">
        <f t="shared" si="4"/>
        <v>111.11</v>
      </c>
      <c r="I17" s="219">
        <f t="shared" si="4"/>
        <v>105.79</v>
      </c>
      <c r="J17" s="219">
        <f t="shared" si="4"/>
        <v>113.17</v>
      </c>
      <c r="K17" s="219">
        <f t="shared" si="4"/>
        <v>107.13</v>
      </c>
      <c r="L17" s="219">
        <f t="shared" si="4"/>
        <v>114.59</v>
      </c>
      <c r="M17" s="219">
        <f t="shared" si="4"/>
        <v>0</v>
      </c>
      <c r="N17" s="219">
        <f t="shared" si="4"/>
        <v>0</v>
      </c>
      <c r="O17" s="219">
        <f t="shared" si="4"/>
        <v>100.14</v>
      </c>
    </row>
    <row r="18" spans="1:15" x14ac:dyDescent="0.2">
      <c r="A18" s="1933">
        <v>5</v>
      </c>
      <c r="B18" s="430" t="s">
        <v>98</v>
      </c>
      <c r="C18" s="221">
        <v>196645</v>
      </c>
      <c r="D18" s="214">
        <f>ROUND((C18*(1+'Løntabel gældende fra'!$D$7%)),0)</f>
        <v>210348</v>
      </c>
      <c r="E18" s="222">
        <v>200442</v>
      </c>
      <c r="F18" s="223">
        <f>ROUND((E18*(1+'Løntabel gældende fra'!$D$7%)),0)</f>
        <v>214409</v>
      </c>
      <c r="G18" s="221">
        <v>203072</v>
      </c>
      <c r="H18" s="214">
        <f>ROUND((G18*(1+'Løntabel gældende fra'!$D$7%)),0)</f>
        <v>217223</v>
      </c>
      <c r="I18" s="222">
        <v>206869</v>
      </c>
      <c r="J18" s="223">
        <f>ROUND((I18*(1+'Løntabel gældende fra'!$D$7%)),0)</f>
        <v>221284</v>
      </c>
      <c r="K18" s="221">
        <v>209497</v>
      </c>
      <c r="L18" s="214">
        <f>ROUND((K18*(1+'Løntabel gældende fra'!$D$7%)),0)</f>
        <v>224095</v>
      </c>
      <c r="M18" s="473"/>
      <c r="N18" s="451">
        <v>183001.14</v>
      </c>
      <c r="O18" s="228">
        <f>ROUND(N18*(1+'Løntabel gældende fra'!$D$7%),2)</f>
        <v>195753.21</v>
      </c>
    </row>
    <row r="19" spans="1:15" x14ac:dyDescent="0.2">
      <c r="A19" s="1931"/>
      <c r="B19" s="455" t="s">
        <v>99</v>
      </c>
      <c r="C19" s="460">
        <f>C18/12</f>
        <v>16387.083333333332</v>
      </c>
      <c r="D19" s="467">
        <f>ROUND(D18/12,2)</f>
        <v>17529</v>
      </c>
      <c r="E19" s="464">
        <f>E18/12</f>
        <v>16703.5</v>
      </c>
      <c r="F19" s="449">
        <f>ROUND(F18/12,2)</f>
        <v>17867.419999999998</v>
      </c>
      <c r="G19" s="460">
        <f>G18/12</f>
        <v>16922.666666666668</v>
      </c>
      <c r="H19" s="467">
        <f>ROUND(H18/12,2)</f>
        <v>18101.919999999998</v>
      </c>
      <c r="I19" s="464">
        <f>I18/12</f>
        <v>17239.083333333332</v>
      </c>
      <c r="J19" s="449">
        <f>ROUND(J18/12,2)</f>
        <v>18440.330000000002</v>
      </c>
      <c r="K19" s="460">
        <f>K18/12</f>
        <v>17458.083333333332</v>
      </c>
      <c r="L19" s="467">
        <f>ROUND(L18/12,2)</f>
        <v>18674.580000000002</v>
      </c>
      <c r="M19" s="472"/>
      <c r="N19" s="450"/>
      <c r="O19" s="452">
        <f>ROUND(O18/12,2)</f>
        <v>16312.77</v>
      </c>
    </row>
    <row r="20" spans="1:15" ht="16" thickBot="1" x14ac:dyDescent="0.25">
      <c r="A20" s="1932"/>
      <c r="B20" s="432" t="s">
        <v>240</v>
      </c>
      <c r="C20" s="461"/>
      <c r="D20" s="219">
        <f>ROUND(D19/160.33,2)</f>
        <v>109.33</v>
      </c>
      <c r="E20" s="465"/>
      <c r="F20" s="219">
        <f t="shared" ref="F20:O20" si="5">ROUND(F19/160.33,2)</f>
        <v>111.44</v>
      </c>
      <c r="G20" s="219">
        <f t="shared" si="5"/>
        <v>105.55</v>
      </c>
      <c r="H20" s="219">
        <f t="shared" si="5"/>
        <v>112.9</v>
      </c>
      <c r="I20" s="219">
        <f t="shared" si="5"/>
        <v>107.52</v>
      </c>
      <c r="J20" s="219">
        <f t="shared" si="5"/>
        <v>115.01</v>
      </c>
      <c r="K20" s="219">
        <f t="shared" si="5"/>
        <v>108.89</v>
      </c>
      <c r="L20" s="219">
        <f t="shared" si="5"/>
        <v>116.48</v>
      </c>
      <c r="M20" s="219">
        <f t="shared" si="5"/>
        <v>0</v>
      </c>
      <c r="N20" s="219">
        <f t="shared" si="5"/>
        <v>0</v>
      </c>
      <c r="O20" s="219">
        <f t="shared" si="5"/>
        <v>101.74</v>
      </c>
    </row>
    <row r="21" spans="1:15" x14ac:dyDescent="0.2">
      <c r="A21" s="1930">
        <v>6</v>
      </c>
      <c r="B21" s="212" t="s">
        <v>98</v>
      </c>
      <c r="C21" s="213">
        <v>199810</v>
      </c>
      <c r="D21" s="217">
        <f>ROUND((C21*(1+'Løntabel gældende fra'!$D$7%)),0)</f>
        <v>213733</v>
      </c>
      <c r="E21" s="215">
        <v>203700</v>
      </c>
      <c r="F21" s="216">
        <f>ROUND((E21*(1+'Løntabel gældende fra'!$D$7%)),0)</f>
        <v>217894</v>
      </c>
      <c r="G21" s="213">
        <v>206395</v>
      </c>
      <c r="H21" s="217">
        <f>ROUND((G21*(1+'Løntabel gældende fra'!$D$7%)),0)</f>
        <v>220777</v>
      </c>
      <c r="I21" s="215">
        <v>210285</v>
      </c>
      <c r="J21" s="216">
        <f>ROUND((I21*(1+'Løntabel gældende fra'!$D$7%)),0)</f>
        <v>224938</v>
      </c>
      <c r="K21" s="213">
        <v>212978</v>
      </c>
      <c r="L21" s="217">
        <f>ROUND((K21*(1+'Løntabel gældende fra'!$D$7%)),0)</f>
        <v>227819</v>
      </c>
      <c r="M21" s="474"/>
      <c r="N21" s="453">
        <v>185966.06</v>
      </c>
      <c r="O21" s="454">
        <f>ROUND(N21*(1+'Løntabel gældende fra'!$D$7%),2)</f>
        <v>198924.73</v>
      </c>
    </row>
    <row r="22" spans="1:15" x14ac:dyDescent="0.2">
      <c r="A22" s="1931"/>
      <c r="B22" s="455" t="s">
        <v>99</v>
      </c>
      <c r="C22" s="460">
        <f>C21/12</f>
        <v>16650.833333333332</v>
      </c>
      <c r="D22" s="467">
        <f>ROUND(D21/12,2)</f>
        <v>17811.080000000002</v>
      </c>
      <c r="E22" s="464">
        <f>E21/12</f>
        <v>16975</v>
      </c>
      <c r="F22" s="449">
        <f>ROUND(F21/12,2)</f>
        <v>18157.830000000002</v>
      </c>
      <c r="G22" s="460">
        <f>G21/12</f>
        <v>17199.583333333332</v>
      </c>
      <c r="H22" s="467">
        <f>ROUND(H21/12,2)</f>
        <v>18398.080000000002</v>
      </c>
      <c r="I22" s="464">
        <f>I21/12</f>
        <v>17523.75</v>
      </c>
      <c r="J22" s="449">
        <f>ROUND(J21/12,2)</f>
        <v>18744.830000000002</v>
      </c>
      <c r="K22" s="460">
        <f>K21/12</f>
        <v>17748.166666666668</v>
      </c>
      <c r="L22" s="467">
        <f>ROUND(L21/12,2)</f>
        <v>18984.919999999998</v>
      </c>
      <c r="M22" s="472"/>
      <c r="N22" s="450"/>
      <c r="O22" s="452">
        <f>ROUND(O21/12,2)</f>
        <v>16577.060000000001</v>
      </c>
    </row>
    <row r="23" spans="1:15" ht="16" thickBot="1" x14ac:dyDescent="0.25">
      <c r="A23" s="1934"/>
      <c r="B23" s="456" t="s">
        <v>240</v>
      </c>
      <c r="C23" s="462"/>
      <c r="D23" s="468">
        <f>ROUND(D22/160.33,2)</f>
        <v>111.09</v>
      </c>
      <c r="E23" s="466"/>
      <c r="F23" s="468">
        <f t="shared" ref="F23:O23" si="6">ROUND(F22/160.33,2)</f>
        <v>113.25</v>
      </c>
      <c r="G23" s="468">
        <f t="shared" si="6"/>
        <v>107.28</v>
      </c>
      <c r="H23" s="468">
        <f t="shared" si="6"/>
        <v>114.75</v>
      </c>
      <c r="I23" s="468">
        <f t="shared" si="6"/>
        <v>109.3</v>
      </c>
      <c r="J23" s="468">
        <f t="shared" si="6"/>
        <v>116.91</v>
      </c>
      <c r="K23" s="468">
        <f t="shared" si="6"/>
        <v>110.7</v>
      </c>
      <c r="L23" s="468">
        <f t="shared" si="6"/>
        <v>118.41</v>
      </c>
      <c r="M23" s="468">
        <f t="shared" si="6"/>
        <v>0</v>
      </c>
      <c r="N23" s="468">
        <f t="shared" si="6"/>
        <v>0</v>
      </c>
      <c r="O23" s="468">
        <f t="shared" si="6"/>
        <v>103.39</v>
      </c>
    </row>
    <row r="24" spans="1:15" x14ac:dyDescent="0.2">
      <c r="A24" s="1933">
        <v>7</v>
      </c>
      <c r="B24" s="430" t="s">
        <v>98</v>
      </c>
      <c r="C24" s="221">
        <v>203058</v>
      </c>
      <c r="D24" s="214">
        <f>ROUND((C24*(1+'Løntabel gældende fra'!$D$7%)),0)</f>
        <v>217208</v>
      </c>
      <c r="E24" s="222">
        <v>207045</v>
      </c>
      <c r="F24" s="223">
        <f>ROUND((E24*(1+'Løntabel gældende fra'!$D$7%)),0)</f>
        <v>221473</v>
      </c>
      <c r="G24" s="221">
        <v>209805</v>
      </c>
      <c r="H24" s="214">
        <f>ROUND((G24*(1+'Løntabel gældende fra'!$D$7%)),0)</f>
        <v>224425</v>
      </c>
      <c r="I24" s="222">
        <v>213792</v>
      </c>
      <c r="J24" s="223">
        <f>ROUND((I24*(1+'Løntabel gældende fra'!$D$7%)),0)</f>
        <v>228690</v>
      </c>
      <c r="K24" s="221">
        <v>216551</v>
      </c>
      <c r="L24" s="214">
        <f>ROUND((K24*(1+'Løntabel gældende fra'!$D$7%)),0)</f>
        <v>231641</v>
      </c>
      <c r="M24" s="473"/>
      <c r="N24" s="451">
        <v>189010.4</v>
      </c>
      <c r="O24" s="228">
        <f>ROUND(N24*(1+'Løntabel gældende fra'!$D$7%),2)</f>
        <v>202181.21</v>
      </c>
    </row>
    <row r="25" spans="1:15" x14ac:dyDescent="0.2">
      <c r="A25" s="1931"/>
      <c r="B25" s="455" t="s">
        <v>99</v>
      </c>
      <c r="C25" s="460"/>
      <c r="D25" s="467">
        <f>ROUND(D24/12,2)</f>
        <v>18100.669999999998</v>
      </c>
      <c r="E25" s="464">
        <f>E24/12</f>
        <v>17253.75</v>
      </c>
      <c r="F25" s="449">
        <f>ROUND(F24/12,2)</f>
        <v>18456.080000000002</v>
      </c>
      <c r="G25" s="460">
        <f>G24/12</f>
        <v>17483.75</v>
      </c>
      <c r="H25" s="467">
        <f>ROUND(H24/12,2)</f>
        <v>18702.080000000002</v>
      </c>
      <c r="I25" s="464">
        <f>I24/12</f>
        <v>17816</v>
      </c>
      <c r="J25" s="449">
        <f>ROUND(J24/12,2)</f>
        <v>19057.5</v>
      </c>
      <c r="K25" s="460">
        <f>K24/12</f>
        <v>18045.916666666668</v>
      </c>
      <c r="L25" s="467">
        <f>ROUND(L24/12,2)</f>
        <v>19303.419999999998</v>
      </c>
      <c r="M25" s="472"/>
      <c r="N25" s="450"/>
      <c r="O25" s="452">
        <f>ROUND(O24/12,2)</f>
        <v>16848.43</v>
      </c>
    </row>
    <row r="26" spans="1:15" ht="16" thickBot="1" x14ac:dyDescent="0.25">
      <c r="A26" s="1932"/>
      <c r="B26" s="432" t="s">
        <v>240</v>
      </c>
      <c r="C26" s="218">
        <f>C24/12</f>
        <v>16921.5</v>
      </c>
      <c r="D26" s="219">
        <f>ROUND(D25/160.33,2)</f>
        <v>112.9</v>
      </c>
      <c r="E26" s="465"/>
      <c r="F26" s="219">
        <f t="shared" ref="F26:O26" si="7">ROUND(F25/160.33,2)</f>
        <v>115.11</v>
      </c>
      <c r="G26" s="219">
        <f t="shared" si="7"/>
        <v>109.05</v>
      </c>
      <c r="H26" s="219">
        <f t="shared" si="7"/>
        <v>116.65</v>
      </c>
      <c r="I26" s="219">
        <f t="shared" si="7"/>
        <v>111.12</v>
      </c>
      <c r="J26" s="219">
        <f t="shared" si="7"/>
        <v>118.86</v>
      </c>
      <c r="K26" s="219">
        <f t="shared" si="7"/>
        <v>112.55</v>
      </c>
      <c r="L26" s="219">
        <f t="shared" si="7"/>
        <v>120.4</v>
      </c>
      <c r="M26" s="219">
        <f t="shared" si="7"/>
        <v>0</v>
      </c>
      <c r="N26" s="219">
        <f t="shared" si="7"/>
        <v>0</v>
      </c>
      <c r="O26" s="219">
        <f t="shared" si="7"/>
        <v>105.09</v>
      </c>
    </row>
    <row r="27" spans="1:15" x14ac:dyDescent="0.2">
      <c r="A27" s="1930">
        <v>8</v>
      </c>
      <c r="B27" s="212" t="s">
        <v>98</v>
      </c>
      <c r="C27" s="213">
        <v>206396</v>
      </c>
      <c r="D27" s="217">
        <f>ROUND((C27*(1+'Løntabel gældende fra'!$D$7%)),0)</f>
        <v>220778</v>
      </c>
      <c r="E27" s="215">
        <v>210482</v>
      </c>
      <c r="F27" s="216">
        <f>ROUND((E27*(1+'Løntabel gældende fra'!$D$7%)),0)</f>
        <v>225149</v>
      </c>
      <c r="G27" s="213">
        <v>213311</v>
      </c>
      <c r="H27" s="217">
        <f>ROUND((G27*(1+'Løntabel gældende fra'!$D$7%)),0)</f>
        <v>228175</v>
      </c>
      <c r="I27" s="215">
        <v>217397</v>
      </c>
      <c r="J27" s="216">
        <f>ROUND((I27*(1+'Løntabel gældende fra'!$D$7%)),0)</f>
        <v>232546</v>
      </c>
      <c r="K27" s="213">
        <v>220226</v>
      </c>
      <c r="L27" s="217">
        <f>ROUND((K27*(1+'Løntabel gældende fra'!$D$7%)),0)</f>
        <v>235572</v>
      </c>
      <c r="M27" s="474"/>
      <c r="N27" s="453">
        <v>192139.54</v>
      </c>
      <c r="O27" s="454">
        <f>ROUND(N27*(1+'Løntabel gældende fra'!$D$7%),2)</f>
        <v>205528.4</v>
      </c>
    </row>
    <row r="28" spans="1:15" x14ac:dyDescent="0.2">
      <c r="A28" s="1931"/>
      <c r="B28" s="455" t="s">
        <v>99</v>
      </c>
      <c r="C28" s="460"/>
      <c r="D28" s="467">
        <f>ROUND(D27/12,2)</f>
        <v>18398.169999999998</v>
      </c>
      <c r="E28" s="464">
        <f>E27/12</f>
        <v>17540.166666666668</v>
      </c>
      <c r="F28" s="449">
        <f>ROUND(F27/12,2)</f>
        <v>18762.419999999998</v>
      </c>
      <c r="G28" s="460">
        <f>G27/12</f>
        <v>17775.916666666668</v>
      </c>
      <c r="H28" s="467">
        <f>ROUND(H27/12,2)</f>
        <v>19014.580000000002</v>
      </c>
      <c r="I28" s="464">
        <f>I27/12</f>
        <v>18116.416666666668</v>
      </c>
      <c r="J28" s="449">
        <f>ROUND(J27/12,2)</f>
        <v>19378.830000000002</v>
      </c>
      <c r="K28" s="460">
        <f>K27/12</f>
        <v>18352.166666666668</v>
      </c>
      <c r="L28" s="467">
        <f>ROUND(L27/12,2)</f>
        <v>19631</v>
      </c>
      <c r="M28" s="472"/>
      <c r="N28" s="450"/>
      <c r="O28" s="452">
        <f>ROUND(O27/12,2)</f>
        <v>17127.37</v>
      </c>
    </row>
    <row r="29" spans="1:15" ht="16" thickBot="1" x14ac:dyDescent="0.25">
      <c r="A29" s="1934"/>
      <c r="B29" s="456" t="s">
        <v>240</v>
      </c>
      <c r="C29" s="463">
        <f>C27/12</f>
        <v>17199.666666666668</v>
      </c>
      <c r="D29" s="468">
        <f>ROUND(D28/160.33,2)</f>
        <v>114.75</v>
      </c>
      <c r="E29" s="466"/>
      <c r="F29" s="468">
        <f t="shared" ref="F29:O29" si="8">ROUND(F28/160.33,2)</f>
        <v>117.02</v>
      </c>
      <c r="G29" s="468">
        <f t="shared" si="8"/>
        <v>110.87</v>
      </c>
      <c r="H29" s="468">
        <f t="shared" si="8"/>
        <v>118.6</v>
      </c>
      <c r="I29" s="468">
        <f t="shared" si="8"/>
        <v>112.99</v>
      </c>
      <c r="J29" s="468">
        <f t="shared" si="8"/>
        <v>120.87</v>
      </c>
      <c r="K29" s="468">
        <f t="shared" si="8"/>
        <v>114.46</v>
      </c>
      <c r="L29" s="468">
        <f t="shared" si="8"/>
        <v>122.44</v>
      </c>
      <c r="M29" s="468">
        <f t="shared" si="8"/>
        <v>0</v>
      </c>
      <c r="N29" s="468">
        <f t="shared" si="8"/>
        <v>0</v>
      </c>
      <c r="O29" s="468">
        <f t="shared" si="8"/>
        <v>106.83</v>
      </c>
    </row>
    <row r="30" spans="1:15" x14ac:dyDescent="0.2">
      <c r="A30" s="1933">
        <v>9</v>
      </c>
      <c r="B30" s="430" t="s">
        <v>98</v>
      </c>
      <c r="C30" s="221">
        <v>209829</v>
      </c>
      <c r="D30" s="214">
        <f>ROUND((C30*(1+'Løntabel gældende fra'!$D$7%)),0)</f>
        <v>224451</v>
      </c>
      <c r="E30" s="222">
        <v>214015</v>
      </c>
      <c r="F30" s="223">
        <f>ROUND((E30*(1+'Løntabel gældende fra'!$D$7%)),0)</f>
        <v>228928</v>
      </c>
      <c r="G30" s="221">
        <v>216916</v>
      </c>
      <c r="H30" s="214">
        <f>ROUND((G30*(1+'Løntabel gældende fra'!$D$7%)),0)</f>
        <v>232031</v>
      </c>
      <c r="I30" s="222">
        <v>221102</v>
      </c>
      <c r="J30" s="223">
        <f>ROUND((I30*(1+'Løntabel gældende fra'!$D$7%)),0)</f>
        <v>236509</v>
      </c>
      <c r="K30" s="221">
        <v>224002</v>
      </c>
      <c r="L30" s="214">
        <f>ROUND((K30*(1+'Løntabel gældende fra'!$D$7%)),0)</f>
        <v>239611</v>
      </c>
      <c r="M30" s="473"/>
      <c r="N30" s="451">
        <v>195355.31</v>
      </c>
      <c r="O30" s="228">
        <f>ROUND(N30*(1+'Løntabel gældende fra'!$D$7%),2)</f>
        <v>208968.25</v>
      </c>
    </row>
    <row r="31" spans="1:15" x14ac:dyDescent="0.2">
      <c r="A31" s="1931"/>
      <c r="B31" s="455" t="s">
        <v>247</v>
      </c>
      <c r="C31" s="460"/>
      <c r="D31" s="467">
        <f>ROUND(D30/12,2)</f>
        <v>18704.25</v>
      </c>
      <c r="E31" s="464">
        <f>E30/12</f>
        <v>17834.583333333332</v>
      </c>
      <c r="F31" s="449">
        <f>ROUND(F30/12,2)</f>
        <v>19077.330000000002</v>
      </c>
      <c r="G31" s="460">
        <f>G30/12</f>
        <v>18076.333333333332</v>
      </c>
      <c r="H31" s="467">
        <f>ROUND(H30/12,2)</f>
        <v>19335.919999999998</v>
      </c>
      <c r="I31" s="464">
        <f>I30/12</f>
        <v>18425.166666666668</v>
      </c>
      <c r="J31" s="449">
        <f>ROUND(J30/12,2)</f>
        <v>19709.080000000002</v>
      </c>
      <c r="K31" s="460">
        <f>K30/12</f>
        <v>18666.833333333332</v>
      </c>
      <c r="L31" s="467">
        <f>ROUND(L30/12,2)</f>
        <v>19967.580000000002</v>
      </c>
      <c r="M31" s="472"/>
      <c r="N31" s="450"/>
      <c r="O31" s="452">
        <f>ROUND(O30/12,2)</f>
        <v>17414.02</v>
      </c>
    </row>
    <row r="32" spans="1:15" ht="16" thickBot="1" x14ac:dyDescent="0.25">
      <c r="A32" s="1932"/>
      <c r="B32" s="432" t="s">
        <v>240</v>
      </c>
      <c r="C32" s="218">
        <f>C30/12</f>
        <v>17485.75</v>
      </c>
      <c r="D32" s="219">
        <f>ROUND(D31/160.33,2)</f>
        <v>116.66</v>
      </c>
      <c r="E32" s="465"/>
      <c r="F32" s="219">
        <f t="shared" ref="F32:O32" si="9">ROUND(F31/160.33,2)</f>
        <v>118.99</v>
      </c>
      <c r="G32" s="219">
        <f t="shared" si="9"/>
        <v>112.74</v>
      </c>
      <c r="H32" s="219">
        <f t="shared" si="9"/>
        <v>120.6</v>
      </c>
      <c r="I32" s="219">
        <f t="shared" si="9"/>
        <v>114.92</v>
      </c>
      <c r="J32" s="219">
        <f t="shared" si="9"/>
        <v>122.93</v>
      </c>
      <c r="K32" s="219">
        <f t="shared" si="9"/>
        <v>116.43</v>
      </c>
      <c r="L32" s="219">
        <f t="shared" si="9"/>
        <v>124.54</v>
      </c>
      <c r="M32" s="219">
        <f t="shared" si="9"/>
        <v>0</v>
      </c>
      <c r="N32" s="219">
        <f t="shared" si="9"/>
        <v>0</v>
      </c>
      <c r="O32" s="219">
        <f t="shared" si="9"/>
        <v>108.61</v>
      </c>
    </row>
    <row r="33" spans="1:15" x14ac:dyDescent="0.2">
      <c r="A33" s="1930">
        <v>10</v>
      </c>
      <c r="B33" s="212" t="s">
        <v>98</v>
      </c>
      <c r="C33" s="213">
        <v>213353</v>
      </c>
      <c r="D33" s="217">
        <f>ROUND((C33*(1+'Løntabel gældende fra'!$D$7%)),0)</f>
        <v>228220</v>
      </c>
      <c r="E33" s="215">
        <v>217646</v>
      </c>
      <c r="F33" s="216">
        <f>ROUND((E33*(1+'Løntabel gældende fra'!$D$7%)),0)</f>
        <v>232812</v>
      </c>
      <c r="G33" s="213">
        <v>220617</v>
      </c>
      <c r="H33" s="217">
        <f>ROUND((G33*(1+'Løntabel gældende fra'!$D$7%)),0)</f>
        <v>235990</v>
      </c>
      <c r="I33" s="215">
        <v>224909</v>
      </c>
      <c r="J33" s="216">
        <f>ROUND((I33*(1+'Løntabel gældende fra'!$D$7%)),0)</f>
        <v>240581</v>
      </c>
      <c r="K33" s="213">
        <v>227882</v>
      </c>
      <c r="L33" s="217">
        <f>ROUND((K33*(1+'Løntabel gældende fra'!$D$7%)),0)</f>
        <v>243762</v>
      </c>
      <c r="M33" s="474"/>
      <c r="N33" s="453">
        <v>198659.5</v>
      </c>
      <c r="O33" s="454">
        <f>ROUND(N33*(1+'Løntabel gældende fra'!$D$7%),2)</f>
        <v>212502.69</v>
      </c>
    </row>
    <row r="34" spans="1:15" x14ac:dyDescent="0.2">
      <c r="A34" s="1931"/>
      <c r="B34" s="455" t="s">
        <v>99</v>
      </c>
      <c r="C34" s="460"/>
      <c r="D34" s="467">
        <f>ROUND(D33/12,2)</f>
        <v>19018.330000000002</v>
      </c>
      <c r="E34" s="464">
        <f>E33/12</f>
        <v>18137.166666666668</v>
      </c>
      <c r="F34" s="449">
        <f>ROUND(F33/12,2)</f>
        <v>19401</v>
      </c>
      <c r="G34" s="460">
        <f>G33/12</f>
        <v>18384.75</v>
      </c>
      <c r="H34" s="467">
        <f>ROUND(H33/12,2)</f>
        <v>19665.830000000002</v>
      </c>
      <c r="I34" s="464">
        <f>I33/12</f>
        <v>18742.416666666668</v>
      </c>
      <c r="J34" s="449">
        <f>ROUND(J33/12,2)</f>
        <v>20048.419999999998</v>
      </c>
      <c r="K34" s="460">
        <f>K33/12</f>
        <v>18990.166666666668</v>
      </c>
      <c r="L34" s="467">
        <f>ROUND(L33/12,2)</f>
        <v>20313.5</v>
      </c>
      <c r="M34" s="472"/>
      <c r="N34" s="450"/>
      <c r="O34" s="452">
        <f>ROUND(O33/12,2)</f>
        <v>17708.560000000001</v>
      </c>
    </row>
    <row r="35" spans="1:15" ht="16" thickBot="1" x14ac:dyDescent="0.25">
      <c r="A35" s="1934"/>
      <c r="B35" s="456" t="s">
        <v>240</v>
      </c>
      <c r="C35" s="463">
        <f>C33/12</f>
        <v>17779.416666666668</v>
      </c>
      <c r="D35" s="468">
        <f>ROUND(D34/160.33,2)</f>
        <v>118.62</v>
      </c>
      <c r="E35" s="466"/>
      <c r="F35" s="468">
        <f t="shared" ref="F35:O35" si="10">ROUND(F34/160.33,2)</f>
        <v>121.01</v>
      </c>
      <c r="G35" s="468">
        <f t="shared" si="10"/>
        <v>114.67</v>
      </c>
      <c r="H35" s="468">
        <f t="shared" si="10"/>
        <v>122.66</v>
      </c>
      <c r="I35" s="468">
        <f t="shared" si="10"/>
        <v>116.9</v>
      </c>
      <c r="J35" s="468">
        <f t="shared" si="10"/>
        <v>125.04</v>
      </c>
      <c r="K35" s="468">
        <f t="shared" si="10"/>
        <v>118.44</v>
      </c>
      <c r="L35" s="468">
        <f t="shared" si="10"/>
        <v>126.7</v>
      </c>
      <c r="M35" s="468">
        <f t="shared" si="10"/>
        <v>0</v>
      </c>
      <c r="N35" s="468">
        <f t="shared" si="10"/>
        <v>0</v>
      </c>
      <c r="O35" s="468">
        <f t="shared" si="10"/>
        <v>110.45</v>
      </c>
    </row>
    <row r="36" spans="1:15" x14ac:dyDescent="0.2">
      <c r="A36" s="1933">
        <v>11</v>
      </c>
      <c r="B36" s="430" t="s">
        <v>98</v>
      </c>
      <c r="C36" s="221">
        <v>216134</v>
      </c>
      <c r="D36" s="214">
        <f>ROUND((C36*(1+'Løntabel gældende fra'!$D$7%)),0)</f>
        <v>231195</v>
      </c>
      <c r="E36" s="222">
        <v>220533</v>
      </c>
      <c r="F36" s="223">
        <f>ROUND((E36*(1+'Løntabel gældende fra'!$D$7%)),0)</f>
        <v>235900</v>
      </c>
      <c r="G36" s="221">
        <v>223579</v>
      </c>
      <c r="H36" s="214">
        <f>ROUND((G36*(1+'Løntabel gældende fra'!$D$7%)),0)</f>
        <v>239159</v>
      </c>
      <c r="I36" s="222">
        <v>227978</v>
      </c>
      <c r="J36" s="223">
        <f>ROUND((I36*(1+'Løntabel gældende fra'!$D$7%)),0)</f>
        <v>243864</v>
      </c>
      <c r="K36" s="221">
        <v>231023</v>
      </c>
      <c r="L36" s="214">
        <f>ROUND((K36*(1+'Løntabel gældende fra'!$D$7%)),0)</f>
        <v>247121</v>
      </c>
      <c r="M36" s="473"/>
      <c r="N36" s="451">
        <v>202053.93</v>
      </c>
      <c r="O36" s="228">
        <f>ROUND(N36*(1+'Løntabel gældende fra'!$D$7%),2)</f>
        <v>216133.65</v>
      </c>
    </row>
    <row r="37" spans="1:15" x14ac:dyDescent="0.2">
      <c r="A37" s="1931"/>
      <c r="B37" s="455" t="s">
        <v>247</v>
      </c>
      <c r="C37" s="460"/>
      <c r="D37" s="467">
        <f>ROUND(D36/12,2)</f>
        <v>19266.25</v>
      </c>
      <c r="E37" s="464">
        <f>E36/12</f>
        <v>18377.75</v>
      </c>
      <c r="F37" s="449">
        <f>ROUND(F36/12,2)</f>
        <v>19658.330000000002</v>
      </c>
      <c r="G37" s="460">
        <f>G36/12</f>
        <v>18631.583333333332</v>
      </c>
      <c r="H37" s="467">
        <f>ROUND(H36/12,2)</f>
        <v>19929.919999999998</v>
      </c>
      <c r="I37" s="464">
        <f>I36/12</f>
        <v>18998.166666666668</v>
      </c>
      <c r="J37" s="449">
        <f>ROUND(J36/12,2)</f>
        <v>20322</v>
      </c>
      <c r="K37" s="460">
        <f>K36/12</f>
        <v>19251.916666666668</v>
      </c>
      <c r="L37" s="467">
        <f>ROUND(L36/12,2)</f>
        <v>20593.419999999998</v>
      </c>
      <c r="M37" s="472"/>
      <c r="N37" s="450"/>
      <c r="O37" s="452">
        <f>ROUND(O36/12,2)</f>
        <v>18011.14</v>
      </c>
    </row>
    <row r="38" spans="1:15" ht="16" thickBot="1" x14ac:dyDescent="0.25">
      <c r="A38" s="1932"/>
      <c r="B38" s="432" t="s">
        <v>240</v>
      </c>
      <c r="C38" s="218">
        <f>C36/12</f>
        <v>18011.166666666668</v>
      </c>
      <c r="D38" s="219">
        <f>ROUND(D37/160.33,2)</f>
        <v>120.17</v>
      </c>
      <c r="E38" s="465"/>
      <c r="F38" s="219">
        <f t="shared" ref="F38:O38" si="11">ROUND(F37/160.33,2)</f>
        <v>122.61</v>
      </c>
      <c r="G38" s="219">
        <f t="shared" si="11"/>
        <v>116.21</v>
      </c>
      <c r="H38" s="219">
        <f t="shared" si="11"/>
        <v>124.31</v>
      </c>
      <c r="I38" s="219">
        <f t="shared" si="11"/>
        <v>118.49</v>
      </c>
      <c r="J38" s="219">
        <f t="shared" si="11"/>
        <v>126.75</v>
      </c>
      <c r="K38" s="219">
        <f t="shared" si="11"/>
        <v>120.08</v>
      </c>
      <c r="L38" s="219">
        <f t="shared" si="11"/>
        <v>128.44</v>
      </c>
      <c r="M38" s="219">
        <f t="shared" si="11"/>
        <v>0</v>
      </c>
      <c r="N38" s="219">
        <f t="shared" si="11"/>
        <v>0</v>
      </c>
      <c r="O38" s="219">
        <f t="shared" si="11"/>
        <v>112.34</v>
      </c>
    </row>
    <row r="39" spans="1:15" x14ac:dyDescent="0.2">
      <c r="A39" s="1930">
        <v>12</v>
      </c>
      <c r="B39" s="212" t="s">
        <v>98</v>
      </c>
      <c r="C39" s="213">
        <v>219855</v>
      </c>
      <c r="D39" s="217">
        <f>ROUND((C39*(1+'Løntabel gældende fra'!$D$7%)),0)</f>
        <v>235175</v>
      </c>
      <c r="E39" s="215">
        <v>224365</v>
      </c>
      <c r="F39" s="216">
        <f>ROUND((E39*(1+'Løntabel gældende fra'!$D$7%)),0)</f>
        <v>239999</v>
      </c>
      <c r="G39" s="213">
        <v>227489</v>
      </c>
      <c r="H39" s="217">
        <f>ROUND((G39*(1+'Løntabel gældende fra'!$D$7%)),0)</f>
        <v>243341</v>
      </c>
      <c r="I39" s="215">
        <v>231997</v>
      </c>
      <c r="J39" s="216">
        <f>ROUND((I39*(1+'Løntabel gældende fra'!$D$7%)),0)</f>
        <v>248163</v>
      </c>
      <c r="K39" s="213">
        <v>235119</v>
      </c>
      <c r="L39" s="217">
        <f>ROUND((K39*(1+'Løntabel gældende fra'!$D$7%)),0)</f>
        <v>251503</v>
      </c>
      <c r="M39" s="474"/>
      <c r="N39" s="453">
        <v>205542.18</v>
      </c>
      <c r="O39" s="454">
        <f>ROUND(N39*(1+'Løntabel gældende fra'!$D$7%),2)</f>
        <v>219864.98</v>
      </c>
    </row>
    <row r="40" spans="1:15" x14ac:dyDescent="0.2">
      <c r="A40" s="1931"/>
      <c r="B40" s="455" t="s">
        <v>99</v>
      </c>
      <c r="C40" s="460"/>
      <c r="D40" s="467">
        <f>ROUND(D39/12,2)</f>
        <v>19597.919999999998</v>
      </c>
      <c r="E40" s="464">
        <f>E39/12</f>
        <v>18697.083333333332</v>
      </c>
      <c r="F40" s="449">
        <f>ROUND(F39/12,2)</f>
        <v>19999.919999999998</v>
      </c>
      <c r="G40" s="460">
        <f>G39/12</f>
        <v>18957.416666666668</v>
      </c>
      <c r="H40" s="467">
        <f>ROUND(H39/12,2)</f>
        <v>20278.419999999998</v>
      </c>
      <c r="I40" s="464">
        <f>I39/12</f>
        <v>19333.083333333332</v>
      </c>
      <c r="J40" s="449">
        <f>ROUND(J39/12,2)</f>
        <v>20680.25</v>
      </c>
      <c r="K40" s="460">
        <f>K39/12</f>
        <v>19593.25</v>
      </c>
      <c r="L40" s="467">
        <f>ROUND(L39/12,2)</f>
        <v>20958.580000000002</v>
      </c>
      <c r="M40" s="472"/>
      <c r="N40" s="450"/>
      <c r="O40" s="452">
        <f>ROUND(O39/12,2)</f>
        <v>18322.080000000002</v>
      </c>
    </row>
    <row r="41" spans="1:15" ht="16" thickBot="1" x14ac:dyDescent="0.25">
      <c r="A41" s="1934"/>
      <c r="B41" s="456" t="s">
        <v>240</v>
      </c>
      <c r="C41" s="463">
        <f>C39/12</f>
        <v>18321.25</v>
      </c>
      <c r="D41" s="468">
        <f>ROUND(D40/160.33,2)</f>
        <v>122.23</v>
      </c>
      <c r="E41" s="468">
        <f t="shared" ref="E41:O41" si="12">ROUND(E40/160.33,2)</f>
        <v>116.62</v>
      </c>
      <c r="F41" s="468">
        <f t="shared" si="12"/>
        <v>124.74</v>
      </c>
      <c r="G41" s="468">
        <f t="shared" si="12"/>
        <v>118.24</v>
      </c>
      <c r="H41" s="468">
        <f t="shared" si="12"/>
        <v>126.48</v>
      </c>
      <c r="I41" s="468">
        <f t="shared" si="12"/>
        <v>120.58</v>
      </c>
      <c r="J41" s="468">
        <f t="shared" si="12"/>
        <v>128.99</v>
      </c>
      <c r="K41" s="468">
        <f t="shared" si="12"/>
        <v>122.21</v>
      </c>
      <c r="L41" s="468">
        <f t="shared" si="12"/>
        <v>130.72</v>
      </c>
      <c r="M41" s="468">
        <f t="shared" si="12"/>
        <v>0</v>
      </c>
      <c r="N41" s="468">
        <f t="shared" si="12"/>
        <v>0</v>
      </c>
      <c r="O41" s="468">
        <f t="shared" si="12"/>
        <v>114.28</v>
      </c>
    </row>
    <row r="42" spans="1:15" x14ac:dyDescent="0.2">
      <c r="A42" s="1933">
        <v>13</v>
      </c>
      <c r="B42" s="430" t="s">
        <v>98</v>
      </c>
      <c r="C42" s="221">
        <v>223681</v>
      </c>
      <c r="D42" s="214">
        <f>ROUND((C42*(1+'Løntabel gældende fra'!$D$7%)),0)</f>
        <v>239268</v>
      </c>
      <c r="E42" s="222">
        <v>228304</v>
      </c>
      <c r="F42" s="223">
        <f>ROUND((E42*(1+'Løntabel gældende fra'!$D$7%)),0)</f>
        <v>244213</v>
      </c>
      <c r="G42" s="221">
        <v>231504</v>
      </c>
      <c r="H42" s="214">
        <f>ROUND((G42*(1+'Løntabel gældende fra'!$D$7%)),0)</f>
        <v>247636</v>
      </c>
      <c r="I42" s="222">
        <v>236129</v>
      </c>
      <c r="J42" s="223">
        <f>ROUND((I42*(1+'Løntabel gældende fra'!$D$7%)),0)</f>
        <v>252583</v>
      </c>
      <c r="K42" s="221">
        <v>239328</v>
      </c>
      <c r="L42" s="214">
        <f>ROUND((K42*(1+'Løntabel gældende fra'!$D$7%)),0)</f>
        <v>256005</v>
      </c>
      <c r="M42" s="473"/>
      <c r="N42" s="451">
        <v>209126.09</v>
      </c>
      <c r="O42" s="228">
        <f>ROUND(N42*(1+'Løntabel gældende fra'!$D$7%),2)</f>
        <v>223698.62</v>
      </c>
    </row>
    <row r="43" spans="1:15" x14ac:dyDescent="0.2">
      <c r="A43" s="1931"/>
      <c r="B43" s="455" t="s">
        <v>247</v>
      </c>
      <c r="C43" s="460"/>
      <c r="D43" s="467">
        <f>ROUND(D42/12,2)</f>
        <v>19939</v>
      </c>
      <c r="E43" s="464">
        <f>E42/12</f>
        <v>19025.333333333332</v>
      </c>
      <c r="F43" s="449">
        <f>ROUND(F42/12,2)</f>
        <v>20351.080000000002</v>
      </c>
      <c r="G43" s="460">
        <f>G42/12</f>
        <v>19292</v>
      </c>
      <c r="H43" s="467">
        <f>ROUND(H42/12,2)</f>
        <v>20636.330000000002</v>
      </c>
      <c r="I43" s="464">
        <f>I42/12</f>
        <v>19677.416666666668</v>
      </c>
      <c r="J43" s="449">
        <f>ROUND(J42/12,2)</f>
        <v>21048.58</v>
      </c>
      <c r="K43" s="460">
        <f>K42/12</f>
        <v>19944</v>
      </c>
      <c r="L43" s="467">
        <f>ROUND(L42/12,2)</f>
        <v>21333.75</v>
      </c>
      <c r="M43" s="472"/>
      <c r="N43" s="450"/>
      <c r="O43" s="452">
        <f>ROUND(O42/12,2)</f>
        <v>18641.55</v>
      </c>
    </row>
    <row r="44" spans="1:15" ht="16" thickBot="1" x14ac:dyDescent="0.25">
      <c r="A44" s="1932"/>
      <c r="B44" s="432" t="s">
        <v>240</v>
      </c>
      <c r="C44" s="218">
        <f>C42/12</f>
        <v>18640.083333333332</v>
      </c>
      <c r="D44" s="219">
        <f>ROUND(D43/160.33,2)</f>
        <v>124.36</v>
      </c>
      <c r="E44" s="465"/>
      <c r="F44" s="219">
        <f t="shared" ref="F44:O44" si="13">ROUND(F43/160.33,2)</f>
        <v>126.93</v>
      </c>
      <c r="G44" s="219">
        <f t="shared" si="13"/>
        <v>120.33</v>
      </c>
      <c r="H44" s="219">
        <f t="shared" si="13"/>
        <v>128.71</v>
      </c>
      <c r="I44" s="219">
        <f t="shared" si="13"/>
        <v>122.73</v>
      </c>
      <c r="J44" s="219">
        <f t="shared" si="13"/>
        <v>131.28</v>
      </c>
      <c r="K44" s="219">
        <f t="shared" si="13"/>
        <v>124.39</v>
      </c>
      <c r="L44" s="219">
        <f t="shared" si="13"/>
        <v>133.06</v>
      </c>
      <c r="M44" s="219">
        <f t="shared" si="13"/>
        <v>0</v>
      </c>
      <c r="N44" s="219">
        <f t="shared" si="13"/>
        <v>0</v>
      </c>
      <c r="O44" s="219">
        <f t="shared" si="13"/>
        <v>116.27</v>
      </c>
    </row>
    <row r="45" spans="1:15" x14ac:dyDescent="0.2">
      <c r="A45" s="1933">
        <v>14</v>
      </c>
      <c r="B45" s="430" t="s">
        <v>98</v>
      </c>
      <c r="C45" s="221">
        <v>227611</v>
      </c>
      <c r="D45" s="214">
        <f>ROUND((C45*(1+'Løntabel gældende fra'!$D$7%)),0)</f>
        <v>243472</v>
      </c>
      <c r="E45" s="222">
        <v>232351</v>
      </c>
      <c r="F45" s="223">
        <f>ROUND((E45*(1+'Løntabel gældende fra'!$D$7%)),0)</f>
        <v>248542</v>
      </c>
      <c r="G45" s="221">
        <v>235632</v>
      </c>
      <c r="H45" s="214">
        <f>ROUND((G45*(1+'Løntabel gældende fra'!$D$7%)),0)</f>
        <v>252052</v>
      </c>
      <c r="I45" s="222">
        <v>240371</v>
      </c>
      <c r="J45" s="223">
        <f>ROUND((I45*(1+'Løntabel gældende fra'!$D$7%)),0)</f>
        <v>257121</v>
      </c>
      <c r="K45" s="221">
        <v>243652</v>
      </c>
      <c r="L45" s="214">
        <f>ROUND((K45*(1+'Løntabel gældende fra'!$D$7%)),0)</f>
        <v>260630</v>
      </c>
      <c r="M45" s="473"/>
      <c r="N45" s="451">
        <v>212809.24</v>
      </c>
      <c r="O45" s="228">
        <f>ROUND(N45*(1+'Løntabel gældende fra'!$D$7%),2)</f>
        <v>227638.43</v>
      </c>
    </row>
    <row r="46" spans="1:15" x14ac:dyDescent="0.2">
      <c r="A46" s="1931"/>
      <c r="B46" s="455" t="s">
        <v>247</v>
      </c>
      <c r="C46" s="460"/>
      <c r="D46" s="467">
        <f>ROUND(D45/12,2)</f>
        <v>20289.330000000002</v>
      </c>
      <c r="E46" s="464">
        <f>E45/12</f>
        <v>19362.583333333332</v>
      </c>
      <c r="F46" s="449">
        <f>ROUND(F45/12,2)</f>
        <v>20711.830000000002</v>
      </c>
      <c r="G46" s="460">
        <f>G45/12</f>
        <v>19636</v>
      </c>
      <c r="H46" s="467">
        <f>ROUND(H45/12,2)</f>
        <v>21004.33</v>
      </c>
      <c r="I46" s="464">
        <f>I45/12</f>
        <v>20030.916666666668</v>
      </c>
      <c r="J46" s="449">
        <f>ROUND(J45/12,2)</f>
        <v>21426.75</v>
      </c>
      <c r="K46" s="460">
        <f>K45/12</f>
        <v>20304.333333333332</v>
      </c>
      <c r="L46" s="467">
        <f>ROUND(L45/12,2)</f>
        <v>21719.17</v>
      </c>
      <c r="M46" s="472"/>
      <c r="N46" s="450"/>
      <c r="O46" s="452">
        <f>ROUND(O45/12,2)</f>
        <v>18969.87</v>
      </c>
    </row>
    <row r="47" spans="1:15" ht="16" thickBot="1" x14ac:dyDescent="0.25">
      <c r="A47" s="1932"/>
      <c r="B47" s="432" t="s">
        <v>240</v>
      </c>
      <c r="C47" s="218">
        <f>C45/12</f>
        <v>18967.583333333332</v>
      </c>
      <c r="D47" s="219">
        <f>ROUND(D46/160.33,2)</f>
        <v>126.55</v>
      </c>
      <c r="E47" s="465"/>
      <c r="F47" s="219">
        <f t="shared" ref="F47:O47" si="14">ROUND(F46/160.33,2)</f>
        <v>129.18</v>
      </c>
      <c r="G47" s="219">
        <f t="shared" si="14"/>
        <v>122.47</v>
      </c>
      <c r="H47" s="219">
        <f t="shared" si="14"/>
        <v>131.01</v>
      </c>
      <c r="I47" s="219">
        <f t="shared" si="14"/>
        <v>124.94</v>
      </c>
      <c r="J47" s="219">
        <f t="shared" si="14"/>
        <v>133.63999999999999</v>
      </c>
      <c r="K47" s="219">
        <f t="shared" si="14"/>
        <v>126.64</v>
      </c>
      <c r="L47" s="219">
        <f t="shared" si="14"/>
        <v>135.47</v>
      </c>
      <c r="M47" s="219">
        <f t="shared" si="14"/>
        <v>0</v>
      </c>
      <c r="N47" s="219">
        <f t="shared" si="14"/>
        <v>0</v>
      </c>
      <c r="O47" s="219">
        <f t="shared" si="14"/>
        <v>118.32</v>
      </c>
    </row>
    <row r="48" spans="1:15" x14ac:dyDescent="0.2">
      <c r="A48" s="1933">
        <v>15</v>
      </c>
      <c r="B48" s="430" t="s">
        <v>98</v>
      </c>
      <c r="C48" s="221">
        <v>231649</v>
      </c>
      <c r="D48" s="214">
        <f>ROUND((C48*(1+'Løntabel gældende fra'!$D$7%)),0)</f>
        <v>247791</v>
      </c>
      <c r="E48" s="222">
        <v>236507</v>
      </c>
      <c r="F48" s="223">
        <f>ROUND((E48*(1+'Løntabel gældende fra'!$D$7%)),0)</f>
        <v>252988</v>
      </c>
      <c r="G48" s="221">
        <v>239870</v>
      </c>
      <c r="H48" s="214">
        <f>ROUND((G48*(1+'Løntabel gældende fra'!$D$7%)),0)</f>
        <v>256585</v>
      </c>
      <c r="I48" s="222">
        <v>244730</v>
      </c>
      <c r="J48" s="223">
        <f>ROUND((I48*(1+'Løntabel gældende fra'!$D$7%)),0)</f>
        <v>261784</v>
      </c>
      <c r="K48" s="221">
        <v>248094</v>
      </c>
      <c r="L48" s="214">
        <f>ROUND((K48*(1+'Løntabel gældende fra'!$D$7%)),0)</f>
        <v>265382</v>
      </c>
      <c r="M48" s="473"/>
      <c r="N48" s="451">
        <v>216591.65</v>
      </c>
      <c r="O48" s="228">
        <f>ROUND(N48*(1+'Løntabel gældende fra'!$D$7%),2)</f>
        <v>231684.41</v>
      </c>
    </row>
    <row r="49" spans="1:15" x14ac:dyDescent="0.2">
      <c r="A49" s="1931"/>
      <c r="B49" s="455" t="s">
        <v>99</v>
      </c>
      <c r="C49" s="460"/>
      <c r="D49" s="467">
        <f>ROUND(D48/12,2)</f>
        <v>20649.25</v>
      </c>
      <c r="E49" s="464">
        <f>E48/12</f>
        <v>19708.916666666668</v>
      </c>
      <c r="F49" s="449">
        <f>ROUND(F48/12,2)</f>
        <v>21082.33</v>
      </c>
      <c r="G49" s="460">
        <f>G48/12</f>
        <v>19989.166666666668</v>
      </c>
      <c r="H49" s="467">
        <f>ROUND(H48/12,2)</f>
        <v>21382.080000000002</v>
      </c>
      <c r="I49" s="464">
        <f>I48/12</f>
        <v>20394.166666666668</v>
      </c>
      <c r="J49" s="449">
        <f>ROUND(J48/12,2)</f>
        <v>21815.33</v>
      </c>
      <c r="K49" s="460">
        <f>K48/12</f>
        <v>20674.5</v>
      </c>
      <c r="L49" s="467">
        <f>ROUND(L48/12,2)</f>
        <v>22115.17</v>
      </c>
      <c r="M49" s="472"/>
      <c r="N49" s="450"/>
      <c r="O49" s="452">
        <f>ROUND(O48/12,2)</f>
        <v>19307.03</v>
      </c>
    </row>
    <row r="50" spans="1:15" ht="16" thickBot="1" x14ac:dyDescent="0.25">
      <c r="A50" s="1932"/>
      <c r="B50" s="432" t="s">
        <v>240</v>
      </c>
      <c r="C50" s="218">
        <f>C48/12</f>
        <v>19304.083333333332</v>
      </c>
      <c r="D50" s="219">
        <f>ROUND(D49/160.33,2)</f>
        <v>128.79</v>
      </c>
      <c r="E50" s="465"/>
      <c r="F50" s="219">
        <f t="shared" ref="F50:O50" si="15">ROUND(F49/160.33,2)</f>
        <v>131.49</v>
      </c>
      <c r="G50" s="219">
        <f t="shared" si="15"/>
        <v>124.68</v>
      </c>
      <c r="H50" s="219">
        <f t="shared" si="15"/>
        <v>133.36000000000001</v>
      </c>
      <c r="I50" s="219">
        <f t="shared" si="15"/>
        <v>127.2</v>
      </c>
      <c r="J50" s="219">
        <f t="shared" si="15"/>
        <v>136.07</v>
      </c>
      <c r="K50" s="219">
        <f t="shared" si="15"/>
        <v>128.94999999999999</v>
      </c>
      <c r="L50" s="219">
        <f t="shared" si="15"/>
        <v>137.94</v>
      </c>
      <c r="M50" s="219">
        <f t="shared" si="15"/>
        <v>0</v>
      </c>
      <c r="N50" s="219">
        <f t="shared" si="15"/>
        <v>0</v>
      </c>
      <c r="O50" s="219">
        <f t="shared" si="15"/>
        <v>120.42</v>
      </c>
    </row>
    <row r="51" spans="1:15" x14ac:dyDescent="0.2">
      <c r="A51" s="1933">
        <v>16</v>
      </c>
      <c r="B51" s="430" t="s">
        <v>98</v>
      </c>
      <c r="C51" s="221">
        <v>234743</v>
      </c>
      <c r="D51" s="214">
        <f>ROUND((C51*(1+'Løntabel gældende fra'!$D$7%)),0)</f>
        <v>251101</v>
      </c>
      <c r="E51" s="222">
        <v>239725</v>
      </c>
      <c r="F51" s="223">
        <f>ROUND((E51*(1+'Løntabel gældende fra'!$D$7%)),0)</f>
        <v>256430</v>
      </c>
      <c r="G51" s="221">
        <v>243175</v>
      </c>
      <c r="H51" s="214">
        <f>ROUND((G51*(1+'Løntabel gældende fra'!$D$7%)),0)</f>
        <v>260120</v>
      </c>
      <c r="I51" s="222">
        <v>248156</v>
      </c>
      <c r="J51" s="223">
        <f>ROUND((I51*(1+'Løntabel gældende fra'!$D$7%)),0)</f>
        <v>265448</v>
      </c>
      <c r="K51" s="221">
        <v>251606</v>
      </c>
      <c r="L51" s="214">
        <f>ROUND((K51*(1+'Løntabel gældende fra'!$D$7%)),0)</f>
        <v>269139</v>
      </c>
      <c r="M51" s="473"/>
      <c r="N51" s="451">
        <v>220480.52</v>
      </c>
      <c r="O51" s="228">
        <f>ROUND(N51*(1+'Løntabel gældende fra'!$D$7%),2)</f>
        <v>235844.26</v>
      </c>
    </row>
    <row r="52" spans="1:15" x14ac:dyDescent="0.2">
      <c r="A52" s="1931"/>
      <c r="B52" s="455" t="s">
        <v>247</v>
      </c>
      <c r="C52" s="460"/>
      <c r="D52" s="467">
        <f>ROUND(D51/12,2)</f>
        <v>20925.080000000002</v>
      </c>
      <c r="E52" s="464">
        <f>E51/12</f>
        <v>19977.083333333332</v>
      </c>
      <c r="F52" s="449">
        <f>ROUND(F51/12,2)</f>
        <v>21369.17</v>
      </c>
      <c r="G52" s="460">
        <f>G51/12</f>
        <v>20264.583333333332</v>
      </c>
      <c r="H52" s="467">
        <f>ROUND(H51/12,2)</f>
        <v>21676.67</v>
      </c>
      <c r="I52" s="464">
        <f>I51/12</f>
        <v>20679.666666666668</v>
      </c>
      <c r="J52" s="449">
        <f>ROUND(J51/12,2)</f>
        <v>22120.67</v>
      </c>
      <c r="K52" s="460">
        <f>K51/12</f>
        <v>20967.166666666668</v>
      </c>
      <c r="L52" s="467">
        <f>ROUND(L51/12,2)</f>
        <v>22428.25</v>
      </c>
      <c r="M52" s="472"/>
      <c r="N52" s="450"/>
      <c r="O52" s="452">
        <f>ROUND(O51/12,2)</f>
        <v>19653.689999999999</v>
      </c>
    </row>
    <row r="53" spans="1:15" ht="16" thickBot="1" x14ac:dyDescent="0.25">
      <c r="A53" s="1932"/>
      <c r="B53" s="432" t="s">
        <v>240</v>
      </c>
      <c r="C53" s="218">
        <f>C51/12</f>
        <v>19561.916666666668</v>
      </c>
      <c r="D53" s="219">
        <f>ROUND(D52/160.33,2)</f>
        <v>130.51</v>
      </c>
      <c r="E53" s="465"/>
      <c r="F53" s="219">
        <f t="shared" ref="F53:O53" si="16">ROUND(F52/160.33,2)</f>
        <v>133.28</v>
      </c>
      <c r="G53" s="219">
        <f t="shared" si="16"/>
        <v>126.39</v>
      </c>
      <c r="H53" s="219">
        <f t="shared" si="16"/>
        <v>135.19999999999999</v>
      </c>
      <c r="I53" s="219">
        <f t="shared" si="16"/>
        <v>128.97999999999999</v>
      </c>
      <c r="J53" s="219">
        <f t="shared" si="16"/>
        <v>137.97</v>
      </c>
      <c r="K53" s="219">
        <f t="shared" si="16"/>
        <v>130.78</v>
      </c>
      <c r="L53" s="219">
        <f t="shared" si="16"/>
        <v>139.88999999999999</v>
      </c>
      <c r="M53" s="219">
        <f t="shared" si="16"/>
        <v>0</v>
      </c>
      <c r="N53" s="219">
        <f t="shared" si="16"/>
        <v>0</v>
      </c>
      <c r="O53" s="219">
        <f t="shared" si="16"/>
        <v>122.58</v>
      </c>
    </row>
    <row r="54" spans="1:15" x14ac:dyDescent="0.2">
      <c r="A54" s="1930">
        <v>17</v>
      </c>
      <c r="B54" s="212" t="s">
        <v>98</v>
      </c>
      <c r="C54" s="213">
        <v>239005</v>
      </c>
      <c r="D54" s="217">
        <f>ROUND((C54*(1+'Løntabel gældende fra'!$D$7%)),0)</f>
        <v>255660</v>
      </c>
      <c r="E54" s="215">
        <v>244114</v>
      </c>
      <c r="F54" s="216">
        <f>ROUND((E54*(1+'Løntabel gældende fra'!$D$7%)),0)</f>
        <v>261125</v>
      </c>
      <c r="G54" s="213">
        <v>247651</v>
      </c>
      <c r="H54" s="217">
        <f>ROUND((G54*(1+'Løntabel gældende fra'!$D$7%)),0)</f>
        <v>264908</v>
      </c>
      <c r="I54" s="215">
        <v>252759</v>
      </c>
      <c r="J54" s="216">
        <f>ROUND((I54*(1+'Løntabel gældende fra'!$D$7%)),0)</f>
        <v>270372</v>
      </c>
      <c r="K54" s="213">
        <v>256294</v>
      </c>
      <c r="L54" s="217">
        <f>ROUND((K54*(1+'Løntabel gældende fra'!$D$7%)),0)</f>
        <v>274153</v>
      </c>
      <c r="M54" s="474"/>
      <c r="N54" s="453">
        <v>224474.06</v>
      </c>
      <c r="O54" s="454">
        <f>ROUND(N54*(1+'Løntabel gældende fra'!$D$7%),2)</f>
        <v>240116.09</v>
      </c>
    </row>
    <row r="55" spans="1:15" x14ac:dyDescent="0.2">
      <c r="A55" s="1931"/>
      <c r="B55" s="455" t="s">
        <v>247</v>
      </c>
      <c r="C55" s="460"/>
      <c r="D55" s="467">
        <f>ROUND(D54/12,2)</f>
        <v>21305</v>
      </c>
      <c r="E55" s="464">
        <f>E54/12</f>
        <v>20342.833333333332</v>
      </c>
      <c r="F55" s="449">
        <f>ROUND(F54/12,2)</f>
        <v>21760.42</v>
      </c>
      <c r="G55" s="460">
        <f>G54/12</f>
        <v>20637.583333333332</v>
      </c>
      <c r="H55" s="467">
        <f>ROUND(H54/12,2)</f>
        <v>22075.67</v>
      </c>
      <c r="I55" s="464">
        <f>I54/12</f>
        <v>21063.25</v>
      </c>
      <c r="J55" s="449">
        <f>ROUND(J54/12,2)</f>
        <v>22531</v>
      </c>
      <c r="K55" s="460">
        <f>K54/12</f>
        <v>21357.833333333332</v>
      </c>
      <c r="L55" s="467">
        <f>ROUND(L54/12,2)</f>
        <v>22846.080000000002</v>
      </c>
      <c r="M55" s="472"/>
      <c r="N55" s="450"/>
      <c r="O55" s="452">
        <f>ROUND(O54/12,2)</f>
        <v>20009.669999999998</v>
      </c>
    </row>
    <row r="56" spans="1:15" ht="16" thickBot="1" x14ac:dyDescent="0.25">
      <c r="A56" s="1934"/>
      <c r="B56" s="456" t="s">
        <v>240</v>
      </c>
      <c r="C56" s="463">
        <f>C54/12</f>
        <v>19917.083333333332</v>
      </c>
      <c r="D56" s="219">
        <f>ROUND(D55/160.33,2)</f>
        <v>132.88</v>
      </c>
      <c r="E56" s="466"/>
      <c r="F56" s="219">
        <f t="shared" ref="F56:O56" si="17">ROUND(F55/160.33,2)</f>
        <v>135.72</v>
      </c>
      <c r="G56" s="219">
        <f t="shared" si="17"/>
        <v>128.72</v>
      </c>
      <c r="H56" s="219">
        <f t="shared" si="17"/>
        <v>137.69</v>
      </c>
      <c r="I56" s="219">
        <f t="shared" si="17"/>
        <v>131.37</v>
      </c>
      <c r="J56" s="219">
        <f t="shared" si="17"/>
        <v>140.53</v>
      </c>
      <c r="K56" s="219">
        <f t="shared" si="17"/>
        <v>133.21</v>
      </c>
      <c r="L56" s="219">
        <f t="shared" si="17"/>
        <v>142.49</v>
      </c>
      <c r="M56" s="219">
        <f t="shared" si="17"/>
        <v>0</v>
      </c>
      <c r="N56" s="219">
        <f t="shared" si="17"/>
        <v>0</v>
      </c>
      <c r="O56" s="219">
        <f t="shared" si="17"/>
        <v>124.8</v>
      </c>
    </row>
    <row r="57" spans="1:15" x14ac:dyDescent="0.2">
      <c r="A57" s="1933">
        <v>18</v>
      </c>
      <c r="B57" s="430" t="s">
        <v>98</v>
      </c>
      <c r="C57" s="221">
        <v>243387</v>
      </c>
      <c r="D57" s="214">
        <f>ROUND((C57*(1+'Løntabel gældende fra'!$D$7%)),0)</f>
        <v>260347</v>
      </c>
      <c r="E57" s="222">
        <v>248626</v>
      </c>
      <c r="F57" s="223">
        <f>ROUND((E57*(1+'Løntabel gældende fra'!$D$7%)),0)</f>
        <v>265951</v>
      </c>
      <c r="G57" s="221">
        <v>252252</v>
      </c>
      <c r="H57" s="214">
        <f>ROUND((G57*(1+'Løntabel gældende fra'!$D$7%)),0)</f>
        <v>269830</v>
      </c>
      <c r="I57" s="222">
        <v>257490</v>
      </c>
      <c r="J57" s="223">
        <f>ROUND((I57*(1+'Løntabel gældende fra'!$D$7%)),0)</f>
        <v>275433</v>
      </c>
      <c r="K57" s="221">
        <v>261115</v>
      </c>
      <c r="L57" s="214">
        <f>ROUND((K57*(1+'Løntabel gældende fra'!$D$7%)),0)</f>
        <v>279310</v>
      </c>
      <c r="M57" s="473"/>
      <c r="N57" s="451">
        <v>228579.5</v>
      </c>
      <c r="O57" s="228">
        <f>ROUND(N57*(1+'Løntabel gældende fra'!$D$7%),2)</f>
        <v>244507.61</v>
      </c>
    </row>
    <row r="58" spans="1:15" x14ac:dyDescent="0.2">
      <c r="A58" s="1931"/>
      <c r="B58" s="455" t="s">
        <v>99</v>
      </c>
      <c r="C58" s="460"/>
      <c r="D58" s="467">
        <f>ROUND(D57/12,2)</f>
        <v>21695.58</v>
      </c>
      <c r="E58" s="464">
        <f>E57/12</f>
        <v>20718.833333333332</v>
      </c>
      <c r="F58" s="449">
        <f>ROUND(F57/12,2)</f>
        <v>22162.58</v>
      </c>
      <c r="G58" s="460">
        <f>G57/12</f>
        <v>21021</v>
      </c>
      <c r="H58" s="467">
        <f>ROUND(H57/12,2)</f>
        <v>22485.83</v>
      </c>
      <c r="I58" s="464">
        <f>I57/12</f>
        <v>21457.5</v>
      </c>
      <c r="J58" s="449">
        <f>ROUND(J57/12,2)</f>
        <v>22952.75</v>
      </c>
      <c r="K58" s="460">
        <f>K57/12</f>
        <v>21759.583333333332</v>
      </c>
      <c r="L58" s="467">
        <f>ROUND(L57/12,2)</f>
        <v>23275.83</v>
      </c>
      <c r="M58" s="472"/>
      <c r="N58" s="450"/>
      <c r="O58" s="452">
        <f>ROUND(O57/12,2)</f>
        <v>20375.63</v>
      </c>
    </row>
    <row r="59" spans="1:15" ht="16" thickBot="1" x14ac:dyDescent="0.25">
      <c r="A59" s="1932"/>
      <c r="B59" s="432" t="s">
        <v>240</v>
      </c>
      <c r="C59" s="218">
        <f>C57/12</f>
        <v>20282.25</v>
      </c>
      <c r="D59" s="219">
        <f>ROUND(D58/160.33,2)</f>
        <v>135.32</v>
      </c>
      <c r="E59" s="465"/>
      <c r="F59" s="219">
        <f t="shared" ref="F59:O59" si="18">ROUND(F58/160.33,2)</f>
        <v>138.22999999999999</v>
      </c>
      <c r="G59" s="219">
        <f t="shared" si="18"/>
        <v>131.11000000000001</v>
      </c>
      <c r="H59" s="219">
        <f t="shared" si="18"/>
        <v>140.25</v>
      </c>
      <c r="I59" s="219">
        <f t="shared" si="18"/>
        <v>133.83000000000001</v>
      </c>
      <c r="J59" s="219">
        <f t="shared" si="18"/>
        <v>143.16</v>
      </c>
      <c r="K59" s="219">
        <f t="shared" si="18"/>
        <v>135.72</v>
      </c>
      <c r="L59" s="219">
        <f t="shared" si="18"/>
        <v>145.16999999999999</v>
      </c>
      <c r="M59" s="219">
        <f t="shared" si="18"/>
        <v>0</v>
      </c>
      <c r="N59" s="219">
        <f t="shared" si="18"/>
        <v>0</v>
      </c>
      <c r="O59" s="219">
        <f t="shared" si="18"/>
        <v>127.09</v>
      </c>
    </row>
    <row r="60" spans="1:15" x14ac:dyDescent="0.2">
      <c r="A60" s="1930">
        <v>19</v>
      </c>
      <c r="B60" s="212" t="s">
        <v>98</v>
      </c>
      <c r="C60" s="213">
        <v>246657</v>
      </c>
      <c r="D60" s="217">
        <f>ROUND((C60*(1+'Løntabel gældende fra'!$D$7%)),0)</f>
        <v>263845</v>
      </c>
      <c r="E60" s="215">
        <v>252029</v>
      </c>
      <c r="F60" s="216">
        <f>ROUND((E60*(1+'Løntabel gældende fra'!$D$7%)),0)</f>
        <v>269591</v>
      </c>
      <c r="G60" s="213">
        <v>255746</v>
      </c>
      <c r="H60" s="217">
        <f>ROUND((G60*(1+'Løntabel gældende fra'!$D$7%)),0)</f>
        <v>273567</v>
      </c>
      <c r="I60" s="215">
        <v>261119</v>
      </c>
      <c r="J60" s="216">
        <f>ROUND((I60*(1+'Løntabel gældende fra'!$D$7%)),0)</f>
        <v>279315</v>
      </c>
      <c r="K60" s="213">
        <v>264839</v>
      </c>
      <c r="L60" s="217">
        <f>ROUND((K60*(1+'Løntabel gældende fra'!$D$7%)),0)</f>
        <v>283294</v>
      </c>
      <c r="M60" s="474"/>
      <c r="N60" s="453">
        <v>232796.81</v>
      </c>
      <c r="O60" s="454">
        <f>ROUND(N60*(1+'Løntabel gældende fra'!$D$7%),2)</f>
        <v>249018.79</v>
      </c>
    </row>
    <row r="61" spans="1:15" x14ac:dyDescent="0.2">
      <c r="A61" s="1931"/>
      <c r="B61" s="455" t="s">
        <v>247</v>
      </c>
      <c r="C61" s="460"/>
      <c r="D61" s="467">
        <f>ROUND(D60/12,2)</f>
        <v>21987.08</v>
      </c>
      <c r="E61" s="464">
        <f>E60/12</f>
        <v>21002.416666666668</v>
      </c>
      <c r="F61" s="449">
        <f>ROUND(F60/12,2)</f>
        <v>22465.919999999998</v>
      </c>
      <c r="G61" s="460">
        <f>G60/12</f>
        <v>21312.166666666668</v>
      </c>
      <c r="H61" s="467">
        <f>ROUND(H60/12,2)</f>
        <v>22797.25</v>
      </c>
      <c r="I61" s="464">
        <f>I60/12</f>
        <v>21759.916666666668</v>
      </c>
      <c r="J61" s="449">
        <f>ROUND(J60/12,2)</f>
        <v>23276.25</v>
      </c>
      <c r="K61" s="460">
        <f>K60/12</f>
        <v>22069.916666666668</v>
      </c>
      <c r="L61" s="467">
        <f>ROUND(L60/12,2)</f>
        <v>23607.83</v>
      </c>
      <c r="M61" s="472"/>
      <c r="N61" s="450"/>
      <c r="O61" s="452">
        <f>ROUND(O60/12,2)</f>
        <v>20751.57</v>
      </c>
    </row>
    <row r="62" spans="1:15" ht="16" thickBot="1" x14ac:dyDescent="0.25">
      <c r="A62" s="1934"/>
      <c r="B62" s="456" t="s">
        <v>240</v>
      </c>
      <c r="C62" s="463">
        <f>C60/12</f>
        <v>20554.75</v>
      </c>
      <c r="D62" s="219">
        <f>ROUND(D61/160.33,2)</f>
        <v>137.13999999999999</v>
      </c>
      <c r="E62" s="466"/>
      <c r="F62" s="219">
        <f t="shared" ref="F62:O62" si="19">ROUND(F61/160.33,2)</f>
        <v>140.12</v>
      </c>
      <c r="G62" s="219">
        <f t="shared" si="19"/>
        <v>132.93</v>
      </c>
      <c r="H62" s="219">
        <f t="shared" si="19"/>
        <v>142.19</v>
      </c>
      <c r="I62" s="219">
        <f t="shared" si="19"/>
        <v>135.72</v>
      </c>
      <c r="J62" s="219">
        <f t="shared" si="19"/>
        <v>145.18</v>
      </c>
      <c r="K62" s="219">
        <f t="shared" si="19"/>
        <v>137.65</v>
      </c>
      <c r="L62" s="219">
        <f t="shared" si="19"/>
        <v>147.25</v>
      </c>
      <c r="M62" s="219">
        <f t="shared" si="19"/>
        <v>0</v>
      </c>
      <c r="N62" s="219">
        <f t="shared" si="19"/>
        <v>0</v>
      </c>
      <c r="O62" s="219">
        <f t="shared" si="19"/>
        <v>129.43</v>
      </c>
    </row>
    <row r="63" spans="1:15" x14ac:dyDescent="0.2">
      <c r="A63" s="1933">
        <v>20</v>
      </c>
      <c r="B63" s="430" t="s">
        <v>98</v>
      </c>
      <c r="C63" s="221">
        <v>250053</v>
      </c>
      <c r="D63" s="214">
        <f>ROUND((C63*(1+'Løntabel gældende fra'!$D$7%)),0)</f>
        <v>267477</v>
      </c>
      <c r="E63" s="222">
        <v>255560</v>
      </c>
      <c r="F63" s="223">
        <f>ROUND((E63*(1+'Løntabel gældende fra'!$D$7%)),0)</f>
        <v>273368</v>
      </c>
      <c r="G63" s="221">
        <v>259374</v>
      </c>
      <c r="H63" s="214">
        <f>ROUND((G63*(1+'Løntabel gældende fra'!$D$7%)),0)</f>
        <v>277448</v>
      </c>
      <c r="I63" s="222">
        <v>264882</v>
      </c>
      <c r="J63" s="223">
        <f>ROUND((I63*(1+'Løntabel gældende fra'!$D$7%)),0)</f>
        <v>283340</v>
      </c>
      <c r="K63" s="221">
        <v>268694</v>
      </c>
      <c r="L63" s="214">
        <f>ROUND((K63*(1+'Løntabel gældende fra'!$D$7%)),0)</f>
        <v>287417</v>
      </c>
      <c r="M63" s="473"/>
      <c r="N63" s="451">
        <v>237129.61</v>
      </c>
      <c r="O63" s="228">
        <f>ROUND(N63*(1+'Løntabel gældende fra'!$D$7%),2)</f>
        <v>253653.51</v>
      </c>
    </row>
    <row r="64" spans="1:15" x14ac:dyDescent="0.2">
      <c r="A64" s="1931"/>
      <c r="B64" s="455" t="s">
        <v>99</v>
      </c>
      <c r="C64" s="460"/>
      <c r="D64" s="467">
        <f>ROUND(D63/12,2)</f>
        <v>22289.75</v>
      </c>
      <c r="E64" s="464">
        <f>E63/12</f>
        <v>21296.666666666668</v>
      </c>
      <c r="F64" s="449">
        <f>ROUND(F63/12,2)</f>
        <v>22780.67</v>
      </c>
      <c r="G64" s="460">
        <f>G63/12</f>
        <v>21614.5</v>
      </c>
      <c r="H64" s="467">
        <f>ROUND(H63/12,2)</f>
        <v>23120.67</v>
      </c>
      <c r="I64" s="464">
        <f>I63/12</f>
        <v>22073.5</v>
      </c>
      <c r="J64" s="449">
        <f>ROUND(J63/12,2)</f>
        <v>23611.67</v>
      </c>
      <c r="K64" s="460">
        <f>K63/12</f>
        <v>22391.166666666668</v>
      </c>
      <c r="L64" s="467">
        <f>ROUND(L63/12,2)</f>
        <v>23951.42</v>
      </c>
      <c r="M64" s="472"/>
      <c r="N64" s="450"/>
      <c r="O64" s="452">
        <f>ROUND(O63/12,2)</f>
        <v>21137.79</v>
      </c>
    </row>
    <row r="65" spans="1:15" ht="16" thickBot="1" x14ac:dyDescent="0.25">
      <c r="A65" s="1932"/>
      <c r="B65" s="432" t="s">
        <v>240</v>
      </c>
      <c r="C65" s="218">
        <f>C63/12</f>
        <v>20837.75</v>
      </c>
      <c r="D65" s="219">
        <f>ROUND(D64/160.33,2)</f>
        <v>139.02000000000001</v>
      </c>
      <c r="E65" s="465"/>
      <c r="F65" s="219">
        <f t="shared" ref="F65:O65" si="20">ROUND(F64/160.33,2)</f>
        <v>142.09</v>
      </c>
      <c r="G65" s="219">
        <f t="shared" si="20"/>
        <v>134.81</v>
      </c>
      <c r="H65" s="219">
        <f t="shared" si="20"/>
        <v>144.21</v>
      </c>
      <c r="I65" s="219">
        <f t="shared" si="20"/>
        <v>137.68</v>
      </c>
      <c r="J65" s="219">
        <f t="shared" si="20"/>
        <v>147.27000000000001</v>
      </c>
      <c r="K65" s="219">
        <f t="shared" si="20"/>
        <v>139.66</v>
      </c>
      <c r="L65" s="219">
        <f t="shared" si="20"/>
        <v>149.38999999999999</v>
      </c>
      <c r="M65" s="219">
        <f t="shared" si="20"/>
        <v>0</v>
      </c>
      <c r="N65" s="219">
        <f t="shared" si="20"/>
        <v>0</v>
      </c>
      <c r="O65" s="219">
        <f t="shared" si="20"/>
        <v>131.84</v>
      </c>
    </row>
    <row r="66" spans="1:15" x14ac:dyDescent="0.2">
      <c r="A66" s="1930">
        <v>21</v>
      </c>
      <c r="B66" s="212" t="s">
        <v>98</v>
      </c>
      <c r="C66" s="213">
        <v>254192</v>
      </c>
      <c r="D66" s="217">
        <f>ROUND((C66*(1+'Løntabel gældende fra'!$D$7%)),0)</f>
        <v>271905</v>
      </c>
      <c r="E66" s="215">
        <v>259841</v>
      </c>
      <c r="F66" s="216">
        <f>ROUND((E66*(1+'Løntabel gældende fra'!$D$7%)),0)</f>
        <v>277948</v>
      </c>
      <c r="G66" s="213">
        <v>263752</v>
      </c>
      <c r="H66" s="217">
        <f>ROUND((G66*(1+'Løntabel gældende fra'!$D$7%)),0)</f>
        <v>282131</v>
      </c>
      <c r="I66" s="215">
        <v>269401</v>
      </c>
      <c r="J66" s="216">
        <f>ROUND((I66*(1+'Løntabel gældende fra'!$D$7%)),0)</f>
        <v>288174</v>
      </c>
      <c r="K66" s="213">
        <v>273312</v>
      </c>
      <c r="L66" s="217">
        <f>ROUND((K66*(1+'Løntabel gældende fra'!$D$7%)),0)</f>
        <v>292357</v>
      </c>
      <c r="M66" s="474"/>
      <c r="N66" s="453">
        <v>241583.32</v>
      </c>
      <c r="O66" s="454">
        <f>ROUND(N66*(1+'Løntabel gældende fra'!$D$7%),2)</f>
        <v>258417.57</v>
      </c>
    </row>
    <row r="67" spans="1:15" x14ac:dyDescent="0.2">
      <c r="A67" s="1931"/>
      <c r="B67" s="455" t="s">
        <v>247</v>
      </c>
      <c r="C67" s="460"/>
      <c r="D67" s="467">
        <f>ROUND(D66/12,2)</f>
        <v>22658.75</v>
      </c>
      <c r="E67" s="464">
        <f>E66/12</f>
        <v>21653.416666666668</v>
      </c>
      <c r="F67" s="449">
        <f>ROUND(F66/12,2)</f>
        <v>23162.33</v>
      </c>
      <c r="G67" s="460">
        <f>G66/12</f>
        <v>21979.333333333332</v>
      </c>
      <c r="H67" s="467">
        <f>ROUND(H66/12,2)</f>
        <v>23510.92</v>
      </c>
      <c r="I67" s="464">
        <f>I66/12</f>
        <v>22450.083333333332</v>
      </c>
      <c r="J67" s="449">
        <f>ROUND(J66/12,2)</f>
        <v>24014.5</v>
      </c>
      <c r="K67" s="460">
        <f>K66/12</f>
        <v>22776</v>
      </c>
      <c r="L67" s="467">
        <f>ROUND(L66/12,2)</f>
        <v>24363.08</v>
      </c>
      <c r="M67" s="472"/>
      <c r="N67" s="450"/>
      <c r="O67" s="452">
        <f>ROUND(O66/12,2)</f>
        <v>21534.799999999999</v>
      </c>
    </row>
    <row r="68" spans="1:15" ht="16" thickBot="1" x14ac:dyDescent="0.25">
      <c r="A68" s="1934"/>
      <c r="B68" s="456" t="s">
        <v>240</v>
      </c>
      <c r="C68" s="463">
        <f>C66/12</f>
        <v>21182.666666666668</v>
      </c>
      <c r="D68" s="219">
        <f>ROUND(D67/160.33,2)</f>
        <v>141.33000000000001</v>
      </c>
      <c r="E68" s="466"/>
      <c r="F68" s="219">
        <f t="shared" ref="F68:O68" si="21">ROUND(F67/160.33,2)</f>
        <v>144.47</v>
      </c>
      <c r="G68" s="219">
        <f t="shared" si="21"/>
        <v>137.09</v>
      </c>
      <c r="H68" s="219">
        <f t="shared" si="21"/>
        <v>146.63999999999999</v>
      </c>
      <c r="I68" s="219">
        <f t="shared" si="21"/>
        <v>140.02000000000001</v>
      </c>
      <c r="J68" s="219">
        <f t="shared" si="21"/>
        <v>149.78</v>
      </c>
      <c r="K68" s="219">
        <f t="shared" si="21"/>
        <v>142.06</v>
      </c>
      <c r="L68" s="219">
        <f t="shared" si="21"/>
        <v>151.96</v>
      </c>
      <c r="M68" s="219">
        <f t="shared" si="21"/>
        <v>0</v>
      </c>
      <c r="N68" s="219">
        <f t="shared" si="21"/>
        <v>0</v>
      </c>
      <c r="O68" s="219">
        <f t="shared" si="21"/>
        <v>134.32</v>
      </c>
    </row>
    <row r="69" spans="1:15" x14ac:dyDescent="0.2">
      <c r="A69" s="1933">
        <v>22</v>
      </c>
      <c r="B69" s="225" t="s">
        <v>98</v>
      </c>
      <c r="C69" s="221">
        <v>258027</v>
      </c>
      <c r="D69" s="214">
        <f>ROUND((C69*(1+'Løntabel gældende fra'!$D$7%)),0)</f>
        <v>276007</v>
      </c>
      <c r="E69" s="222">
        <v>263676</v>
      </c>
      <c r="F69" s="223">
        <f>ROUND((E69*(1+'Løntabel gældende fra'!$D$7%)),0)</f>
        <v>282050</v>
      </c>
      <c r="G69" s="221">
        <v>267587</v>
      </c>
      <c r="H69" s="214">
        <f>ROUND((G69*(1+'Løntabel gældende fra'!$D$7%)),0)</f>
        <v>286233</v>
      </c>
      <c r="I69" s="222">
        <v>273236</v>
      </c>
      <c r="J69" s="223">
        <f>ROUND((I69*(1+'Løntabel gældende fra'!$D$7%)),0)</f>
        <v>292276</v>
      </c>
      <c r="K69" s="221">
        <v>277147</v>
      </c>
      <c r="L69" s="214">
        <f>ROUND((K69*(1+'Løntabel gældende fra'!$D$7%)),0)</f>
        <v>296459</v>
      </c>
      <c r="M69" s="473"/>
      <c r="N69" s="451">
        <v>246033.33</v>
      </c>
      <c r="O69" s="228">
        <f>ROUND(N69*(1+'Løntabel gældende fra'!$D$7%),2)</f>
        <v>263177.67</v>
      </c>
    </row>
    <row r="70" spans="1:15" x14ac:dyDescent="0.2">
      <c r="A70" s="1931"/>
      <c r="B70" s="457" t="s">
        <v>247</v>
      </c>
      <c r="C70" s="460"/>
      <c r="D70" s="467">
        <f>ROUND(D69/12,2)</f>
        <v>23000.58</v>
      </c>
      <c r="E70" s="464">
        <f>E69/12</f>
        <v>21973</v>
      </c>
      <c r="F70" s="449">
        <f>ROUND(F69/12,2)</f>
        <v>23504.17</v>
      </c>
      <c r="G70" s="460">
        <f>G69/12</f>
        <v>22298.916666666668</v>
      </c>
      <c r="H70" s="467">
        <f>ROUND(H69/12,2)</f>
        <v>23852.75</v>
      </c>
      <c r="I70" s="464">
        <f>I69/12</f>
        <v>22769.666666666668</v>
      </c>
      <c r="J70" s="449">
        <f>ROUND(J69/12,2)</f>
        <v>24356.33</v>
      </c>
      <c r="K70" s="460">
        <f>K69/12</f>
        <v>23095.583333333332</v>
      </c>
      <c r="L70" s="467">
        <f>ROUND(L69/12,2)</f>
        <v>24704.92</v>
      </c>
      <c r="M70" s="472"/>
      <c r="N70" s="450"/>
      <c r="O70" s="452">
        <f>ROUND(O69/12,2)</f>
        <v>21931.47</v>
      </c>
    </row>
    <row r="71" spans="1:15" ht="16" thickBot="1" x14ac:dyDescent="0.25">
      <c r="A71" s="1932"/>
      <c r="B71" s="458" t="s">
        <v>240</v>
      </c>
      <c r="C71" s="218">
        <v>262137</v>
      </c>
      <c r="D71" s="219">
        <f>ROUND(D70/160.33,2)</f>
        <v>143.46</v>
      </c>
      <c r="E71" s="465"/>
      <c r="F71" s="219">
        <f t="shared" ref="F71:O71" si="22">ROUND(F70/160.33,2)</f>
        <v>146.6</v>
      </c>
      <c r="G71" s="219">
        <f t="shared" si="22"/>
        <v>139.08000000000001</v>
      </c>
      <c r="H71" s="219">
        <f t="shared" si="22"/>
        <v>148.77000000000001</v>
      </c>
      <c r="I71" s="219">
        <f t="shared" si="22"/>
        <v>142.02000000000001</v>
      </c>
      <c r="J71" s="219">
        <f t="shared" si="22"/>
        <v>151.91</v>
      </c>
      <c r="K71" s="219">
        <f t="shared" si="22"/>
        <v>144.05000000000001</v>
      </c>
      <c r="L71" s="219">
        <f t="shared" si="22"/>
        <v>154.09</v>
      </c>
      <c r="M71" s="219">
        <f t="shared" si="22"/>
        <v>0</v>
      </c>
      <c r="N71" s="219">
        <f t="shared" si="22"/>
        <v>0</v>
      </c>
      <c r="O71" s="219">
        <f t="shared" si="22"/>
        <v>136.79</v>
      </c>
    </row>
    <row r="72" spans="1:15" x14ac:dyDescent="0.2">
      <c r="A72" s="1930">
        <v>23</v>
      </c>
      <c r="B72" s="224" t="s">
        <v>98</v>
      </c>
      <c r="C72" s="213">
        <v>262137</v>
      </c>
      <c r="D72" s="217">
        <f>ROUND((C72*(1+'Løntabel gældende fra'!$D$7%)),0)</f>
        <v>280403</v>
      </c>
      <c r="E72" s="215">
        <v>267629</v>
      </c>
      <c r="F72" s="216">
        <f>ROUND((E72*(1+'Løntabel gældende fra'!$D$7%)),0)</f>
        <v>286278</v>
      </c>
      <c r="G72" s="213">
        <v>271434</v>
      </c>
      <c r="H72" s="217">
        <f>ROUND((G72*(1+'Løntabel gældende fra'!$D$7%)),0)</f>
        <v>290348</v>
      </c>
      <c r="I72" s="215">
        <v>276928</v>
      </c>
      <c r="J72" s="216">
        <f>ROUND((I72*(1+'Løntabel gældende fra'!$D$7%)),0)</f>
        <v>296225</v>
      </c>
      <c r="K72" s="213">
        <v>280730</v>
      </c>
      <c r="L72" s="217">
        <f>ROUND((K72*(1+'Løntabel gældende fra'!$D$7%)),0)</f>
        <v>300292</v>
      </c>
      <c r="M72" s="474"/>
      <c r="N72" s="453">
        <v>250472.55</v>
      </c>
      <c r="O72" s="454">
        <f>ROUND(N72*(1+'Løntabel gældende fra'!$D$7%),2)</f>
        <v>267926.23</v>
      </c>
    </row>
    <row r="73" spans="1:15" x14ac:dyDescent="0.2">
      <c r="A73" s="1931"/>
      <c r="B73" s="457" t="s">
        <v>247</v>
      </c>
      <c r="C73" s="460"/>
      <c r="D73" s="467">
        <f>ROUND(D72/12,2)</f>
        <v>23366.92</v>
      </c>
      <c r="E73" s="464">
        <f>E72/12</f>
        <v>22302.416666666668</v>
      </c>
      <c r="F73" s="449">
        <f>ROUND(F72/12,2)</f>
        <v>23856.5</v>
      </c>
      <c r="G73" s="460">
        <f>G72/12</f>
        <v>22619.5</v>
      </c>
      <c r="H73" s="467">
        <f>ROUND(H72/12,2)</f>
        <v>24195.67</v>
      </c>
      <c r="I73" s="464">
        <f>I72/12</f>
        <v>23077.333333333332</v>
      </c>
      <c r="J73" s="449">
        <f>ROUND(J72/12,2)</f>
        <v>24685.42</v>
      </c>
      <c r="K73" s="460">
        <f>K72/12</f>
        <v>23394.166666666668</v>
      </c>
      <c r="L73" s="467">
        <f>ROUND(L72/12,2)</f>
        <v>25024.33</v>
      </c>
      <c r="M73" s="472"/>
      <c r="N73" s="450"/>
      <c r="O73" s="452">
        <f>ROUND(O72/12,2)</f>
        <v>22327.19</v>
      </c>
    </row>
    <row r="74" spans="1:15" ht="16" thickBot="1" x14ac:dyDescent="0.25">
      <c r="A74" s="1934"/>
      <c r="B74" s="459" t="s">
        <v>240</v>
      </c>
      <c r="C74" s="463">
        <f>C72/12</f>
        <v>21844.75</v>
      </c>
      <c r="D74" s="219">
        <f>ROUND(D73/160.33,2)</f>
        <v>145.74</v>
      </c>
      <c r="E74" s="466"/>
      <c r="F74" s="219">
        <f t="shared" ref="F74:O74" si="23">ROUND(F73/160.33,2)</f>
        <v>148.80000000000001</v>
      </c>
      <c r="G74" s="219">
        <f t="shared" si="23"/>
        <v>141.08000000000001</v>
      </c>
      <c r="H74" s="219">
        <f t="shared" si="23"/>
        <v>150.91</v>
      </c>
      <c r="I74" s="219">
        <f t="shared" si="23"/>
        <v>143.94</v>
      </c>
      <c r="J74" s="219">
        <f t="shared" si="23"/>
        <v>153.97</v>
      </c>
      <c r="K74" s="219">
        <f t="shared" si="23"/>
        <v>145.91</v>
      </c>
      <c r="L74" s="219">
        <f t="shared" si="23"/>
        <v>156.08000000000001</v>
      </c>
      <c r="M74" s="219">
        <f t="shared" si="23"/>
        <v>0</v>
      </c>
      <c r="N74" s="219">
        <f t="shared" si="23"/>
        <v>0</v>
      </c>
      <c r="O74" s="219">
        <f t="shared" si="23"/>
        <v>139.26</v>
      </c>
    </row>
    <row r="75" spans="1:15" x14ac:dyDescent="0.2">
      <c r="A75" s="1933">
        <v>24</v>
      </c>
      <c r="B75" s="225" t="s">
        <v>98</v>
      </c>
      <c r="C75" s="221">
        <v>266372</v>
      </c>
      <c r="D75" s="214">
        <f>ROUND((C75*(1+'Løntabel gældende fra'!$D$7%)),0)</f>
        <v>284934</v>
      </c>
      <c r="E75" s="222">
        <v>271710</v>
      </c>
      <c r="F75" s="223">
        <f>ROUND((E75*(1+'Løntabel gældende fra'!$D$7%)),0)</f>
        <v>290644</v>
      </c>
      <c r="G75" s="221">
        <v>275406</v>
      </c>
      <c r="H75" s="214">
        <f>ROUND((G75*(1+'Løntabel gældende fra'!$D$7%)),0)</f>
        <v>294597</v>
      </c>
      <c r="I75" s="222">
        <v>280745</v>
      </c>
      <c r="J75" s="223">
        <f>ROUND((I75*(1+'Løntabel gældende fra'!$D$7%)),0)</f>
        <v>300308</v>
      </c>
      <c r="K75" s="221">
        <v>284441</v>
      </c>
      <c r="L75" s="214">
        <f>ROUND((K75*(1+'Løntabel gældende fra'!$D$7%)),0)</f>
        <v>304262</v>
      </c>
      <c r="M75" s="473"/>
      <c r="N75" s="451">
        <v>255037.97</v>
      </c>
      <c r="O75" s="228">
        <f>ROUND(N75*(1+'Løntabel gældende fra'!$D$7%),2)</f>
        <v>272809.78000000003</v>
      </c>
    </row>
    <row r="76" spans="1:15" x14ac:dyDescent="0.2">
      <c r="A76" s="1931"/>
      <c r="B76" s="457" t="s">
        <v>247</v>
      </c>
      <c r="C76" s="460"/>
      <c r="D76" s="467">
        <f>ROUND(D75/12,2)</f>
        <v>23744.5</v>
      </c>
      <c r="E76" s="464">
        <f>E75/12</f>
        <v>22642.5</v>
      </c>
      <c r="F76" s="449">
        <f>ROUND(F75/12,2)</f>
        <v>24220.33</v>
      </c>
      <c r="G76" s="460">
        <f>G75/12</f>
        <v>22950.5</v>
      </c>
      <c r="H76" s="467">
        <f>ROUND(H75/12,2)</f>
        <v>24549.75</v>
      </c>
      <c r="I76" s="464">
        <f>I75/12</f>
        <v>23395.416666666668</v>
      </c>
      <c r="J76" s="449">
        <f>ROUND(J75/12,2)</f>
        <v>25025.67</v>
      </c>
      <c r="K76" s="460">
        <f>K75/12</f>
        <v>23703.416666666668</v>
      </c>
      <c r="L76" s="467">
        <f>ROUND(L75/12,2)</f>
        <v>25355.17</v>
      </c>
      <c r="M76" s="472"/>
      <c r="N76" s="450"/>
      <c r="O76" s="452">
        <f>ROUND(O75/12,2)</f>
        <v>22734.15</v>
      </c>
    </row>
    <row r="77" spans="1:15" ht="16" thickBot="1" x14ac:dyDescent="0.25">
      <c r="A77" s="1932"/>
      <c r="B77" s="458" t="s">
        <v>240</v>
      </c>
      <c r="C77" s="218">
        <f>C75/12</f>
        <v>22197.666666666668</v>
      </c>
      <c r="D77" s="219">
        <f>ROUND(D76/160.33,2)</f>
        <v>148.1</v>
      </c>
      <c r="E77" s="465"/>
      <c r="F77" s="219">
        <f t="shared" ref="F77:O77" si="24">ROUND(F76/160.33,2)</f>
        <v>151.07</v>
      </c>
      <c r="G77" s="219">
        <f t="shared" si="24"/>
        <v>143.15</v>
      </c>
      <c r="H77" s="219">
        <f t="shared" si="24"/>
        <v>153.12</v>
      </c>
      <c r="I77" s="219">
        <f t="shared" si="24"/>
        <v>145.91999999999999</v>
      </c>
      <c r="J77" s="219">
        <f t="shared" si="24"/>
        <v>156.09</v>
      </c>
      <c r="K77" s="219">
        <f t="shared" si="24"/>
        <v>147.84</v>
      </c>
      <c r="L77" s="219">
        <f t="shared" si="24"/>
        <v>158.13999999999999</v>
      </c>
      <c r="M77" s="219">
        <f t="shared" si="24"/>
        <v>0</v>
      </c>
      <c r="N77" s="219">
        <f t="shared" si="24"/>
        <v>0</v>
      </c>
      <c r="O77" s="219">
        <f t="shared" si="24"/>
        <v>141.80000000000001</v>
      </c>
    </row>
    <row r="78" spans="1:15" x14ac:dyDescent="0.2">
      <c r="A78" s="1930">
        <v>25</v>
      </c>
      <c r="B78" s="224" t="s">
        <v>98</v>
      </c>
      <c r="C78" s="213">
        <v>270701</v>
      </c>
      <c r="D78" s="217">
        <f>ROUND((C78*(1+'Løntabel gældende fra'!$D$7%)),0)</f>
        <v>289564</v>
      </c>
      <c r="E78" s="215">
        <v>275873</v>
      </c>
      <c r="F78" s="216">
        <f>ROUND((E78*(1+'Løntabel gældende fra'!$D$7%)),0)</f>
        <v>295097</v>
      </c>
      <c r="G78" s="213">
        <v>279454</v>
      </c>
      <c r="H78" s="217">
        <f>ROUND((G78*(1+'Løntabel gældende fra'!$D$7%)),0)</f>
        <v>298927</v>
      </c>
      <c r="I78" s="215">
        <v>284626</v>
      </c>
      <c r="J78" s="216">
        <f>ROUND((I78*(1+'Løntabel gældende fra'!$D$7%)),0)</f>
        <v>304460</v>
      </c>
      <c r="K78" s="213">
        <v>288206</v>
      </c>
      <c r="L78" s="217">
        <f>ROUND((K78*(1+'Løntabel gældende fra'!$D$7%)),0)</f>
        <v>308289</v>
      </c>
      <c r="M78" s="474"/>
      <c r="N78" s="453">
        <v>259721.7</v>
      </c>
      <c r="O78" s="454">
        <f>ROUND(N78*(1+'Løntabel gældende fra'!$D$7%),2)</f>
        <v>277819.89</v>
      </c>
    </row>
    <row r="79" spans="1:15" x14ac:dyDescent="0.2">
      <c r="A79" s="1931"/>
      <c r="B79" s="457" t="s">
        <v>247</v>
      </c>
      <c r="C79" s="460"/>
      <c r="D79" s="467">
        <f>ROUND(D78/12,2)</f>
        <v>24130.33</v>
      </c>
      <c r="E79" s="464">
        <f>E78/12</f>
        <v>22989.416666666668</v>
      </c>
      <c r="F79" s="449">
        <f>ROUND(F78/12,2)</f>
        <v>24591.42</v>
      </c>
      <c r="G79" s="460">
        <f>G78/12</f>
        <v>23287.833333333332</v>
      </c>
      <c r="H79" s="467">
        <f>ROUND(H78/12,2)</f>
        <v>24910.58</v>
      </c>
      <c r="I79" s="464">
        <f>I78/12</f>
        <v>23718.833333333332</v>
      </c>
      <c r="J79" s="449">
        <f>ROUND(J78/12,2)</f>
        <v>25371.67</v>
      </c>
      <c r="K79" s="460">
        <f>K78/12</f>
        <v>24017.166666666668</v>
      </c>
      <c r="L79" s="467">
        <f>ROUND(L78/12,2)</f>
        <v>25690.75</v>
      </c>
      <c r="M79" s="472"/>
      <c r="N79" s="450"/>
      <c r="O79" s="452">
        <f>ROUND(O78/12,2)</f>
        <v>23151.66</v>
      </c>
    </row>
    <row r="80" spans="1:15" ht="16" thickBot="1" x14ac:dyDescent="0.25">
      <c r="A80" s="1934"/>
      <c r="B80" s="459" t="s">
        <v>240</v>
      </c>
      <c r="C80" s="463">
        <f>C78/12</f>
        <v>22558.416666666668</v>
      </c>
      <c r="D80" s="219">
        <f>ROUND(D79/160.33,2)</f>
        <v>150.5</v>
      </c>
      <c r="E80" s="466"/>
      <c r="F80" s="219">
        <f t="shared" ref="F80:O80" si="25">ROUND(F79/160.33,2)</f>
        <v>153.38</v>
      </c>
      <c r="G80" s="219">
        <f t="shared" si="25"/>
        <v>145.25</v>
      </c>
      <c r="H80" s="219">
        <f t="shared" si="25"/>
        <v>155.37</v>
      </c>
      <c r="I80" s="219">
        <f t="shared" si="25"/>
        <v>147.94</v>
      </c>
      <c r="J80" s="219">
        <f t="shared" si="25"/>
        <v>158.25</v>
      </c>
      <c r="K80" s="219">
        <f t="shared" si="25"/>
        <v>149.80000000000001</v>
      </c>
      <c r="L80" s="219">
        <f t="shared" si="25"/>
        <v>160.24</v>
      </c>
      <c r="M80" s="219">
        <f t="shared" si="25"/>
        <v>0</v>
      </c>
      <c r="N80" s="219">
        <f t="shared" si="25"/>
        <v>0</v>
      </c>
      <c r="O80" s="219">
        <f t="shared" si="25"/>
        <v>144.4</v>
      </c>
    </row>
    <row r="81" spans="1:15" x14ac:dyDescent="0.2">
      <c r="A81" s="1933">
        <v>26</v>
      </c>
      <c r="B81" s="225" t="s">
        <v>98</v>
      </c>
      <c r="C81" s="221">
        <v>275131</v>
      </c>
      <c r="D81" s="214">
        <f>ROUND((C81*(1+'Løntabel gældende fra'!$D$7%)),0)</f>
        <v>294303</v>
      </c>
      <c r="E81" s="222">
        <v>280123</v>
      </c>
      <c r="F81" s="223">
        <f>ROUND((E81*(1+'Løntabel gældende fra'!$D$7%)),0)</f>
        <v>299643</v>
      </c>
      <c r="G81" s="221">
        <v>283580</v>
      </c>
      <c r="H81" s="214">
        <f>ROUND((G81*(1+'Løntabel gældende fra'!$D$7%)),0)</f>
        <v>303341</v>
      </c>
      <c r="I81" s="222">
        <v>288573</v>
      </c>
      <c r="J81" s="223">
        <f>ROUND((I81*(1+'Løntabel gældende fra'!$D$7%)),0)</f>
        <v>308682</v>
      </c>
      <c r="K81" s="221">
        <v>292029</v>
      </c>
      <c r="L81" s="214">
        <f>ROUND((K81*(1+'Løntabel gældende fra'!$D$7%)),0)</f>
        <v>312378</v>
      </c>
      <c r="M81" s="473"/>
      <c r="N81" s="451">
        <v>264528.59000000003</v>
      </c>
      <c r="O81" s="228">
        <f>ROUND(N81*(1+'Løntabel gældende fra'!$D$7%),2)</f>
        <v>282961.74</v>
      </c>
    </row>
    <row r="82" spans="1:15" x14ac:dyDescent="0.2">
      <c r="A82" s="1931"/>
      <c r="B82" s="457" t="s">
        <v>247</v>
      </c>
      <c r="C82" s="460"/>
      <c r="D82" s="467">
        <f>ROUND(D81/12,2)</f>
        <v>24525.25</v>
      </c>
      <c r="E82" s="464">
        <f>E81/12</f>
        <v>23343.583333333332</v>
      </c>
      <c r="F82" s="449">
        <f>ROUND(F81/12,2)</f>
        <v>24970.25</v>
      </c>
      <c r="G82" s="460">
        <f>G81/12</f>
        <v>23631.666666666668</v>
      </c>
      <c r="H82" s="467">
        <f>ROUND(H81/12,2)</f>
        <v>25278.42</v>
      </c>
      <c r="I82" s="464">
        <f>I81/12</f>
        <v>24047.75</v>
      </c>
      <c r="J82" s="449">
        <f>ROUND(J81/12,2)</f>
        <v>25723.5</v>
      </c>
      <c r="K82" s="460">
        <f>K81/12</f>
        <v>24335.75</v>
      </c>
      <c r="L82" s="467">
        <f>ROUND(L81/12,2)</f>
        <v>26031.5</v>
      </c>
      <c r="M82" s="472"/>
      <c r="N82" s="450"/>
      <c r="O82" s="452">
        <f>ROUND(O81/12,2)</f>
        <v>23580.15</v>
      </c>
    </row>
    <row r="83" spans="1:15" ht="16" thickBot="1" x14ac:dyDescent="0.25">
      <c r="A83" s="1932"/>
      <c r="B83" s="458" t="s">
        <v>240</v>
      </c>
      <c r="C83" s="218">
        <f>C81/12</f>
        <v>22927.583333333332</v>
      </c>
      <c r="D83" s="219">
        <f>ROUND(D82/160.33,2)</f>
        <v>152.97</v>
      </c>
      <c r="E83" s="465"/>
      <c r="F83" s="219">
        <f t="shared" ref="F83:O83" si="26">ROUND(F82/160.33,2)</f>
        <v>155.74</v>
      </c>
      <c r="G83" s="219">
        <f t="shared" si="26"/>
        <v>147.38999999999999</v>
      </c>
      <c r="H83" s="219">
        <f t="shared" si="26"/>
        <v>157.66</v>
      </c>
      <c r="I83" s="219">
        <f t="shared" si="26"/>
        <v>149.99</v>
      </c>
      <c r="J83" s="219">
        <f t="shared" si="26"/>
        <v>160.44</v>
      </c>
      <c r="K83" s="219">
        <f t="shared" si="26"/>
        <v>151.79</v>
      </c>
      <c r="L83" s="219">
        <f t="shared" si="26"/>
        <v>162.36000000000001</v>
      </c>
      <c r="M83" s="219">
        <f t="shared" si="26"/>
        <v>0</v>
      </c>
      <c r="N83" s="219">
        <f t="shared" si="26"/>
        <v>0</v>
      </c>
      <c r="O83" s="219">
        <f t="shared" si="26"/>
        <v>147.07</v>
      </c>
    </row>
    <row r="84" spans="1:15" x14ac:dyDescent="0.2">
      <c r="A84" s="1930">
        <v>27</v>
      </c>
      <c r="B84" s="224" t="s">
        <v>98</v>
      </c>
      <c r="C84" s="213">
        <v>279656</v>
      </c>
      <c r="D84" s="217">
        <f>ROUND((C84*(1+'Løntabel gældende fra'!$D$7%)),0)</f>
        <v>299143</v>
      </c>
      <c r="E84" s="215">
        <v>284456</v>
      </c>
      <c r="F84" s="216">
        <f>ROUND((E84*(1+'Løntabel gældende fra'!$D$7%)),0)</f>
        <v>304278</v>
      </c>
      <c r="G84" s="213">
        <v>287782</v>
      </c>
      <c r="H84" s="217">
        <f>ROUND((G84*(1+'Løntabel gældende fra'!$D$7%)),0)</f>
        <v>307836</v>
      </c>
      <c r="I84" s="215">
        <v>292583</v>
      </c>
      <c r="J84" s="216">
        <f>ROUND((I84*(1+'Løntabel gældende fra'!$D$7%)),0)</f>
        <v>312971</v>
      </c>
      <c r="K84" s="213">
        <v>295908</v>
      </c>
      <c r="L84" s="217">
        <f>ROUND((K84*(1+'Løntabel gældende fra'!$D$7%)),0)</f>
        <v>316528</v>
      </c>
      <c r="M84" s="474"/>
      <c r="N84" s="453">
        <v>269459.90000000002</v>
      </c>
      <c r="O84" s="454">
        <f>ROUND(N84*(1+'Løntabel gældende fra'!$D$7%),2)</f>
        <v>288236.67</v>
      </c>
    </row>
    <row r="85" spans="1:15" x14ac:dyDescent="0.2">
      <c r="A85" s="1931"/>
      <c r="B85" s="457" t="s">
        <v>247</v>
      </c>
      <c r="C85" s="460"/>
      <c r="D85" s="467">
        <f>ROUND(D84/12,2)</f>
        <v>24928.58</v>
      </c>
      <c r="E85" s="464">
        <f>E84/12</f>
        <v>23704.666666666668</v>
      </c>
      <c r="F85" s="449">
        <f>ROUND(F84/12,2)</f>
        <v>25356.5</v>
      </c>
      <c r="G85" s="460">
        <f>G84/12</f>
        <v>23981.833333333332</v>
      </c>
      <c r="H85" s="467">
        <f>ROUND(H84/12,2)</f>
        <v>25653</v>
      </c>
      <c r="I85" s="464">
        <f>I84/12</f>
        <v>24381.916666666668</v>
      </c>
      <c r="J85" s="449">
        <f>ROUND(J84/12,2)</f>
        <v>26080.92</v>
      </c>
      <c r="K85" s="460">
        <f>K84/12</f>
        <v>24659</v>
      </c>
      <c r="L85" s="467">
        <f>ROUND(L84/12,2)</f>
        <v>26377.33</v>
      </c>
      <c r="M85" s="472"/>
      <c r="N85" s="450"/>
      <c r="O85" s="452">
        <f>ROUND(O84/12,2)</f>
        <v>24019.72</v>
      </c>
    </row>
    <row r="86" spans="1:15" ht="16" thickBot="1" x14ac:dyDescent="0.25">
      <c r="A86" s="1934"/>
      <c r="B86" s="459" t="s">
        <v>240</v>
      </c>
      <c r="C86" s="463">
        <f>C84/12</f>
        <v>23304.666666666668</v>
      </c>
      <c r="D86" s="219">
        <f>ROUND(D85/160.33,2)</f>
        <v>155.47999999999999</v>
      </c>
      <c r="E86" s="466"/>
      <c r="F86" s="219">
        <f t="shared" ref="F86:O86" si="27">ROUND(F85/160.33,2)</f>
        <v>158.15</v>
      </c>
      <c r="G86" s="219">
        <f t="shared" si="27"/>
        <v>149.58000000000001</v>
      </c>
      <c r="H86" s="219">
        <f t="shared" si="27"/>
        <v>160</v>
      </c>
      <c r="I86" s="219">
        <f t="shared" si="27"/>
        <v>152.07</v>
      </c>
      <c r="J86" s="219">
        <f t="shared" si="27"/>
        <v>162.66999999999999</v>
      </c>
      <c r="K86" s="219">
        <f t="shared" si="27"/>
        <v>153.80000000000001</v>
      </c>
      <c r="L86" s="219">
        <f t="shared" si="27"/>
        <v>164.52</v>
      </c>
      <c r="M86" s="219">
        <f t="shared" si="27"/>
        <v>0</v>
      </c>
      <c r="N86" s="219">
        <f t="shared" si="27"/>
        <v>0</v>
      </c>
      <c r="O86" s="219">
        <f t="shared" si="27"/>
        <v>149.81</v>
      </c>
    </row>
    <row r="87" spans="1:15" x14ac:dyDescent="0.2">
      <c r="A87" s="1933">
        <v>28</v>
      </c>
      <c r="B87" s="225" t="s">
        <v>98</v>
      </c>
      <c r="C87" s="221">
        <v>284283</v>
      </c>
      <c r="D87" s="214">
        <f>ROUND((C87*(1+'Løntabel gældende fra'!$D$7%)),0)</f>
        <v>304093</v>
      </c>
      <c r="E87" s="222">
        <v>288881</v>
      </c>
      <c r="F87" s="223">
        <f>ROUND((E87*(1+'Løntabel gældende fra'!$D$7%)),0)</f>
        <v>309011</v>
      </c>
      <c r="G87" s="221">
        <v>292064</v>
      </c>
      <c r="H87" s="214">
        <f>ROUND((G87*(1+'Løntabel gældende fra'!$D$7%)),0)</f>
        <v>312416</v>
      </c>
      <c r="I87" s="222">
        <v>296661</v>
      </c>
      <c r="J87" s="223">
        <f>ROUND((I87*(1+'Løntabel gældende fra'!$D$7%)),0)</f>
        <v>317333</v>
      </c>
      <c r="K87" s="221">
        <v>299845</v>
      </c>
      <c r="L87" s="214">
        <f>ROUND((K87*(1+'Løntabel gældende fra'!$D$7%)),0)</f>
        <v>320739</v>
      </c>
      <c r="M87" s="473"/>
      <c r="N87" s="451">
        <v>274522.23</v>
      </c>
      <c r="O87" s="228">
        <f>ROUND(N87*(1+'Løntabel gældende fra'!$D$7%),2)</f>
        <v>293651.76</v>
      </c>
    </row>
    <row r="88" spans="1:15" x14ac:dyDescent="0.2">
      <c r="A88" s="1931"/>
      <c r="B88" s="457" t="s">
        <v>247</v>
      </c>
      <c r="C88" s="460"/>
      <c r="D88" s="467">
        <f>ROUND(D87/12,2)</f>
        <v>25341.08</v>
      </c>
      <c r="E88" s="464">
        <f>E87/12</f>
        <v>24073.416666666668</v>
      </c>
      <c r="F88" s="449">
        <f>ROUND(F87/12,2)</f>
        <v>25750.92</v>
      </c>
      <c r="G88" s="460">
        <f>G87/12</f>
        <v>24338.666666666668</v>
      </c>
      <c r="H88" s="467">
        <f>ROUND(H87/12,2)</f>
        <v>26034.67</v>
      </c>
      <c r="I88" s="464">
        <f>I87/12</f>
        <v>24721.75</v>
      </c>
      <c r="J88" s="449">
        <f>ROUND(J87/12,2)</f>
        <v>26444.42</v>
      </c>
      <c r="K88" s="460">
        <f>K87/12</f>
        <v>24987.083333333332</v>
      </c>
      <c r="L88" s="467">
        <f>ROUND(L87/12,2)</f>
        <v>26728.25</v>
      </c>
      <c r="M88" s="472"/>
      <c r="N88" s="450"/>
      <c r="O88" s="452">
        <f>ROUND(O87/12,2)</f>
        <v>24470.98</v>
      </c>
    </row>
    <row r="89" spans="1:15" ht="16" thickBot="1" x14ac:dyDescent="0.25">
      <c r="A89" s="1932"/>
      <c r="B89" s="458" t="s">
        <v>240</v>
      </c>
      <c r="C89" s="218">
        <f>C87/12</f>
        <v>23690.25</v>
      </c>
      <c r="D89" s="219">
        <f>ROUND(D88/160.33,2)</f>
        <v>158.06</v>
      </c>
      <c r="E89" s="219">
        <f t="shared" ref="E89:O89" si="28">ROUND(E88/160.33,2)</f>
        <v>150.15</v>
      </c>
      <c r="F89" s="219">
        <f t="shared" si="28"/>
        <v>160.61000000000001</v>
      </c>
      <c r="G89" s="219">
        <f t="shared" si="28"/>
        <v>151.80000000000001</v>
      </c>
      <c r="H89" s="219">
        <f t="shared" si="28"/>
        <v>162.38</v>
      </c>
      <c r="I89" s="219">
        <f t="shared" si="28"/>
        <v>154.19</v>
      </c>
      <c r="J89" s="219">
        <f t="shared" si="28"/>
        <v>164.94</v>
      </c>
      <c r="K89" s="219">
        <f t="shared" si="28"/>
        <v>155.85</v>
      </c>
      <c r="L89" s="219">
        <f t="shared" si="28"/>
        <v>166.71</v>
      </c>
      <c r="M89" s="219">
        <f t="shared" si="28"/>
        <v>0</v>
      </c>
      <c r="N89" s="219">
        <f t="shared" si="28"/>
        <v>0</v>
      </c>
      <c r="O89" s="219">
        <f t="shared" si="28"/>
        <v>152.63</v>
      </c>
    </row>
    <row r="90" spans="1:15" x14ac:dyDescent="0.2">
      <c r="A90" s="1930">
        <v>29</v>
      </c>
      <c r="B90" s="224" t="s">
        <v>98</v>
      </c>
      <c r="C90" s="213">
        <v>289014</v>
      </c>
      <c r="D90" s="217">
        <f>ROUND((C90*(1+'Løntabel gældende fra'!$D$7%)),0)</f>
        <v>309153</v>
      </c>
      <c r="E90" s="215">
        <v>293394</v>
      </c>
      <c r="F90" s="216">
        <f>ROUND((E90*(1+'Løntabel gældende fra'!$D$7%)),0)</f>
        <v>313839</v>
      </c>
      <c r="G90" s="213">
        <v>296427</v>
      </c>
      <c r="H90" s="217">
        <f>ROUND((G90*(1+'Løntabel gældende fra'!$D$7%)),0)</f>
        <v>317083</v>
      </c>
      <c r="I90" s="215">
        <v>300807</v>
      </c>
      <c r="J90" s="216">
        <f>ROUND((I90*(1+'Løntabel gældende fra'!$D$7%)),0)</f>
        <v>321768</v>
      </c>
      <c r="K90" s="213">
        <v>303839</v>
      </c>
      <c r="L90" s="217">
        <f>ROUND((K90*(1+'Løntabel gældende fra'!$D$7%)),0)</f>
        <v>325011</v>
      </c>
      <c r="M90" s="474"/>
      <c r="N90" s="453">
        <v>279714.99</v>
      </c>
      <c r="O90" s="454">
        <f>ROUND(N90*(1+'Løntabel gældende fra'!$D$7%),2)</f>
        <v>299206.37</v>
      </c>
    </row>
    <row r="91" spans="1:15" x14ac:dyDescent="0.2">
      <c r="A91" s="1931"/>
      <c r="B91" s="457" t="s">
        <v>247</v>
      </c>
      <c r="C91" s="460"/>
      <c r="D91" s="467">
        <f>ROUND(D90/12,2)</f>
        <v>25762.75</v>
      </c>
      <c r="E91" s="464">
        <f>E90/12</f>
        <v>24449.5</v>
      </c>
      <c r="F91" s="449">
        <f>ROUND(F90/12,2)</f>
        <v>26153.25</v>
      </c>
      <c r="G91" s="460">
        <f>G90/12</f>
        <v>24702.25</v>
      </c>
      <c r="H91" s="467">
        <f>ROUND(H90/12,2)</f>
        <v>26423.58</v>
      </c>
      <c r="I91" s="464">
        <f>I90/12</f>
        <v>25067.25</v>
      </c>
      <c r="J91" s="449">
        <f>ROUND(J90/12,2)</f>
        <v>26814</v>
      </c>
      <c r="K91" s="460">
        <f>K90/12</f>
        <v>25319.916666666668</v>
      </c>
      <c r="L91" s="467">
        <f>ROUND(L90/12,2)</f>
        <v>27084.25</v>
      </c>
      <c r="M91" s="472"/>
      <c r="N91" s="450"/>
      <c r="O91" s="452">
        <f>ROUND(O90/12,2)</f>
        <v>24933.86</v>
      </c>
    </row>
    <row r="92" spans="1:15" ht="16" thickBot="1" x14ac:dyDescent="0.25">
      <c r="A92" s="1934"/>
      <c r="B92" s="459" t="s">
        <v>240</v>
      </c>
      <c r="C92" s="463">
        <f>C90/12</f>
        <v>24084.5</v>
      </c>
      <c r="D92" s="219">
        <f>ROUND(D91/160.33,2)</f>
        <v>160.69</v>
      </c>
      <c r="E92" s="466"/>
      <c r="F92" s="219">
        <f t="shared" ref="F92:O92" si="29">ROUND(F91/160.33,2)</f>
        <v>163.12</v>
      </c>
      <c r="G92" s="219">
        <f t="shared" si="29"/>
        <v>154.07</v>
      </c>
      <c r="H92" s="219">
        <f t="shared" si="29"/>
        <v>164.81</v>
      </c>
      <c r="I92" s="219">
        <f t="shared" si="29"/>
        <v>156.35</v>
      </c>
      <c r="J92" s="219">
        <f t="shared" si="29"/>
        <v>167.24</v>
      </c>
      <c r="K92" s="219">
        <f t="shared" si="29"/>
        <v>157.91999999999999</v>
      </c>
      <c r="L92" s="219">
        <f t="shared" si="29"/>
        <v>168.93</v>
      </c>
      <c r="M92" s="219">
        <f t="shared" si="29"/>
        <v>0</v>
      </c>
      <c r="N92" s="219">
        <f t="shared" si="29"/>
        <v>0</v>
      </c>
      <c r="O92" s="219">
        <f t="shared" si="29"/>
        <v>155.52000000000001</v>
      </c>
    </row>
    <row r="93" spans="1:15" x14ac:dyDescent="0.2">
      <c r="A93" s="1933">
        <v>30</v>
      </c>
      <c r="B93" s="225" t="s">
        <v>98</v>
      </c>
      <c r="C93" s="221">
        <v>293853</v>
      </c>
      <c r="D93" s="214">
        <f>ROUND((C93*(1+'Løntabel gældende fra'!$D$7%)),0)</f>
        <v>314330</v>
      </c>
      <c r="E93" s="222">
        <v>298001</v>
      </c>
      <c r="F93" s="223">
        <f>ROUND((E93*(1+'Løntabel gældende fra'!$D$7%)),0)</f>
        <v>318767</v>
      </c>
      <c r="G93" s="221">
        <v>300872</v>
      </c>
      <c r="H93" s="214">
        <f>ROUND((G93*(1+'Løntabel gældende fra'!$D$7%)),0)</f>
        <v>321838</v>
      </c>
      <c r="I93" s="222">
        <v>305018</v>
      </c>
      <c r="J93" s="223">
        <f>ROUND((I93*(1+'Løntabel gældende fra'!$D$7%)),0)</f>
        <v>326273</v>
      </c>
      <c r="K93" s="221">
        <v>307890</v>
      </c>
      <c r="L93" s="214">
        <f>ROUND((K93*(1+'Løntabel gældende fra'!$D$7%)),0)</f>
        <v>329345</v>
      </c>
      <c r="M93" s="473"/>
      <c r="N93" s="451">
        <v>285044.74</v>
      </c>
      <c r="O93" s="228">
        <f>ROUND(N93*(1+'Løntabel gældende fra'!$D$7%),2)</f>
        <v>304907.51</v>
      </c>
    </row>
    <row r="94" spans="1:15" x14ac:dyDescent="0.2">
      <c r="A94" s="1931"/>
      <c r="B94" s="457" t="s">
        <v>99</v>
      </c>
      <c r="C94" s="460"/>
      <c r="D94" s="467">
        <f>ROUND(D93/12,2)</f>
        <v>26194.17</v>
      </c>
      <c r="E94" s="464">
        <f>E93/12</f>
        <v>24833.416666666668</v>
      </c>
      <c r="F94" s="449">
        <f>ROUND(F93/12,2)</f>
        <v>26563.919999999998</v>
      </c>
      <c r="G94" s="460">
        <f>G93/12</f>
        <v>25072.666666666668</v>
      </c>
      <c r="H94" s="467">
        <f>ROUND(H93/12,2)</f>
        <v>26819.83</v>
      </c>
      <c r="I94" s="464">
        <f>I93/12</f>
        <v>25418.166666666668</v>
      </c>
      <c r="J94" s="449">
        <f>ROUND(J93/12,2)</f>
        <v>27189.42</v>
      </c>
      <c r="K94" s="460">
        <f>K93/12</f>
        <v>25657.5</v>
      </c>
      <c r="L94" s="467">
        <f>ROUND(L93/12,2)</f>
        <v>27445.42</v>
      </c>
      <c r="M94" s="472"/>
      <c r="N94" s="450"/>
      <c r="O94" s="452">
        <f>ROUND(O93/12,2)</f>
        <v>25408.959999999999</v>
      </c>
    </row>
    <row r="95" spans="1:15" ht="16" thickBot="1" x14ac:dyDescent="0.25">
      <c r="A95" s="1932"/>
      <c r="B95" s="458" t="s">
        <v>240</v>
      </c>
      <c r="C95" s="218">
        <f>C93/12</f>
        <v>24487.75</v>
      </c>
      <c r="D95" s="219">
        <f>ROUND(D94/160.33,2)</f>
        <v>163.38</v>
      </c>
      <c r="E95" s="465"/>
      <c r="F95" s="219">
        <f t="shared" ref="F95:O95" si="30">ROUND(F94/160.33,2)</f>
        <v>165.68</v>
      </c>
      <c r="G95" s="219">
        <f t="shared" si="30"/>
        <v>156.38</v>
      </c>
      <c r="H95" s="219">
        <f t="shared" si="30"/>
        <v>167.28</v>
      </c>
      <c r="I95" s="219">
        <f t="shared" si="30"/>
        <v>158.54</v>
      </c>
      <c r="J95" s="219">
        <f t="shared" si="30"/>
        <v>169.58</v>
      </c>
      <c r="K95" s="219">
        <f t="shared" si="30"/>
        <v>160.03</v>
      </c>
      <c r="L95" s="219">
        <f t="shared" si="30"/>
        <v>171.18</v>
      </c>
      <c r="M95" s="219">
        <f t="shared" si="30"/>
        <v>0</v>
      </c>
      <c r="N95" s="219">
        <f t="shared" si="30"/>
        <v>0</v>
      </c>
      <c r="O95" s="219">
        <f t="shared" si="30"/>
        <v>158.47999999999999</v>
      </c>
    </row>
    <row r="96" spans="1:15" x14ac:dyDescent="0.2">
      <c r="A96" s="1930">
        <v>31</v>
      </c>
      <c r="B96" s="224" t="s">
        <v>98</v>
      </c>
      <c r="C96" s="213">
        <v>298795</v>
      </c>
      <c r="D96" s="217">
        <f>ROUND((C96*(1+'Løntabel gældende fra'!$D$7%)),0)</f>
        <v>319616</v>
      </c>
      <c r="E96" s="215">
        <v>302696</v>
      </c>
      <c r="F96" s="216">
        <f>ROUND((E96*(1+'Løntabel gældende fra'!$D$7%)),0)</f>
        <v>323789</v>
      </c>
      <c r="G96" s="213">
        <v>305398</v>
      </c>
      <c r="H96" s="217">
        <f>ROUND((G96*(1+'Løntabel gældende fra'!$D$7%)),0)</f>
        <v>326679</v>
      </c>
      <c r="I96" s="215">
        <v>309299</v>
      </c>
      <c r="J96" s="216">
        <f>ROUND((I96*(1+'Løntabel gældende fra'!$D$7%)),0)</f>
        <v>330852</v>
      </c>
      <c r="K96" s="213">
        <v>312000</v>
      </c>
      <c r="L96" s="217">
        <f>ROUND((K96*(1+'Løntabel gældende fra'!$D$7%)),0)</f>
        <v>333741</v>
      </c>
      <c r="M96" s="474"/>
      <c r="N96" s="453">
        <v>290512.64000000001</v>
      </c>
      <c r="O96" s="454">
        <f>ROUND(N96*(1+'Løntabel gældende fra'!$D$7%),2)</f>
        <v>310756.43</v>
      </c>
    </row>
    <row r="97" spans="1:15" x14ac:dyDescent="0.2">
      <c r="A97" s="1931"/>
      <c r="B97" s="457" t="s">
        <v>247</v>
      </c>
      <c r="C97" s="460"/>
      <c r="D97" s="467">
        <f>ROUND(D96/12,2)</f>
        <v>26634.67</v>
      </c>
      <c r="E97" s="464">
        <f>E96/12</f>
        <v>25224.666666666668</v>
      </c>
      <c r="F97" s="449">
        <f>ROUND(F96/12,2)</f>
        <v>26982.42</v>
      </c>
      <c r="G97" s="460">
        <f>G96/12</f>
        <v>25449.833333333332</v>
      </c>
      <c r="H97" s="467">
        <f>ROUND(H96/12,2)</f>
        <v>27223.25</v>
      </c>
      <c r="I97" s="464">
        <f>I96/12</f>
        <v>25774.916666666668</v>
      </c>
      <c r="J97" s="449">
        <f>ROUND(J96/12,2)</f>
        <v>27571</v>
      </c>
      <c r="K97" s="460">
        <f>K96/12</f>
        <v>26000</v>
      </c>
      <c r="L97" s="467">
        <f>ROUND(L96/12,2)</f>
        <v>27811.75</v>
      </c>
      <c r="M97" s="472"/>
      <c r="N97" s="450"/>
      <c r="O97" s="452">
        <f>ROUND(O96/12,2)</f>
        <v>25896.37</v>
      </c>
    </row>
    <row r="98" spans="1:15" ht="16" thickBot="1" x14ac:dyDescent="0.25">
      <c r="A98" s="1934"/>
      <c r="B98" s="459" t="s">
        <v>240</v>
      </c>
      <c r="C98" s="463">
        <f>C96/12</f>
        <v>24899.583333333332</v>
      </c>
      <c r="D98" s="219">
        <f>ROUND(D97/160.33,2)</f>
        <v>166.12</v>
      </c>
      <c r="E98" s="466"/>
      <c r="F98" s="219">
        <f t="shared" ref="F98:O98" si="31">ROUND(F97/160.33,2)</f>
        <v>168.29</v>
      </c>
      <c r="G98" s="219">
        <f t="shared" si="31"/>
        <v>158.72999999999999</v>
      </c>
      <c r="H98" s="219">
        <f t="shared" si="31"/>
        <v>169.8</v>
      </c>
      <c r="I98" s="219">
        <f t="shared" si="31"/>
        <v>160.76</v>
      </c>
      <c r="J98" s="219">
        <f t="shared" si="31"/>
        <v>171.96</v>
      </c>
      <c r="K98" s="219">
        <f t="shared" si="31"/>
        <v>162.16999999999999</v>
      </c>
      <c r="L98" s="219">
        <f t="shared" si="31"/>
        <v>173.47</v>
      </c>
      <c r="M98" s="219">
        <f t="shared" si="31"/>
        <v>0</v>
      </c>
      <c r="N98" s="219">
        <f t="shared" si="31"/>
        <v>0</v>
      </c>
      <c r="O98" s="219">
        <f t="shared" si="31"/>
        <v>161.52000000000001</v>
      </c>
    </row>
    <row r="99" spans="1:15" x14ac:dyDescent="0.2">
      <c r="A99" s="1933">
        <v>32</v>
      </c>
      <c r="B99" s="225" t="s">
        <v>98</v>
      </c>
      <c r="C99" s="221">
        <v>303852</v>
      </c>
      <c r="D99" s="214">
        <f>ROUND((C99*(1+'Løntabel gældende fra'!$D$7%)),0)</f>
        <v>325025</v>
      </c>
      <c r="E99" s="222">
        <v>307490</v>
      </c>
      <c r="F99" s="223">
        <f>ROUND((E99*(1+'Løntabel gældende fra'!$D$7%)),0)</f>
        <v>328917</v>
      </c>
      <c r="G99" s="221">
        <v>310009</v>
      </c>
      <c r="H99" s="214">
        <f>ROUND((G99*(1+'Løntabel gældende fra'!$D$7%)),0)</f>
        <v>331611</v>
      </c>
      <c r="I99" s="222">
        <v>313649</v>
      </c>
      <c r="J99" s="223">
        <f>ROUND((I99*(1+'Løntabel gældende fra'!$D$7%)),0)</f>
        <v>335505</v>
      </c>
      <c r="K99" s="221">
        <v>316167</v>
      </c>
      <c r="L99" s="214">
        <f>ROUND((K99*(1+'Løntabel gældende fra'!$D$7%)),0)</f>
        <v>338198</v>
      </c>
      <c r="M99" s="473"/>
      <c r="N99" s="451">
        <v>296125.21000000002</v>
      </c>
      <c r="O99" s="228">
        <f>ROUND(N99*(1+'Løntabel gældende fra'!$D$7%),2)</f>
        <v>316760.09999999998</v>
      </c>
    </row>
    <row r="100" spans="1:15" x14ac:dyDescent="0.2">
      <c r="A100" s="1931"/>
      <c r="B100" s="457" t="s">
        <v>99</v>
      </c>
      <c r="C100" s="460"/>
      <c r="D100" s="467">
        <f>ROUND(D99/12,2)</f>
        <v>27085.42</v>
      </c>
      <c r="E100" s="464">
        <f>E99/12</f>
        <v>25624.166666666668</v>
      </c>
      <c r="F100" s="449">
        <f>ROUND(F99/12,2)</f>
        <v>27409.75</v>
      </c>
      <c r="G100" s="460">
        <f>G99/12</f>
        <v>25834.083333333332</v>
      </c>
      <c r="H100" s="467">
        <f>ROUND(H99/12,2)</f>
        <v>27634.25</v>
      </c>
      <c r="I100" s="464">
        <f>I99/12</f>
        <v>26137.416666666668</v>
      </c>
      <c r="J100" s="449">
        <f>ROUND(J99/12,2)</f>
        <v>27958.75</v>
      </c>
      <c r="K100" s="460">
        <f>K99/12</f>
        <v>26347.25</v>
      </c>
      <c r="L100" s="467">
        <f>ROUND(L99/12,2)</f>
        <v>28183.17</v>
      </c>
      <c r="M100" s="472"/>
      <c r="N100" s="450"/>
      <c r="O100" s="452">
        <f>ROUND(O99/12,2)</f>
        <v>26396.68</v>
      </c>
    </row>
    <row r="101" spans="1:15" ht="16" thickBot="1" x14ac:dyDescent="0.25">
      <c r="A101" s="1932"/>
      <c r="B101" s="458" t="s">
        <v>240</v>
      </c>
      <c r="C101" s="218">
        <f>C99/12</f>
        <v>25321</v>
      </c>
      <c r="D101" s="219">
        <f>ROUND(D100/160.33,2)</f>
        <v>168.94</v>
      </c>
      <c r="E101" s="465"/>
      <c r="F101" s="219">
        <f t="shared" ref="F101:O101" si="32">ROUND(F100/160.33,2)</f>
        <v>170.96</v>
      </c>
      <c r="G101" s="219">
        <f t="shared" si="32"/>
        <v>161.13</v>
      </c>
      <c r="H101" s="219">
        <f t="shared" si="32"/>
        <v>172.36</v>
      </c>
      <c r="I101" s="219">
        <f t="shared" si="32"/>
        <v>163.02000000000001</v>
      </c>
      <c r="J101" s="219">
        <f t="shared" si="32"/>
        <v>174.38</v>
      </c>
      <c r="K101" s="219">
        <f t="shared" si="32"/>
        <v>164.33</v>
      </c>
      <c r="L101" s="219">
        <f t="shared" si="32"/>
        <v>175.78</v>
      </c>
      <c r="M101" s="219">
        <f t="shared" si="32"/>
        <v>0</v>
      </c>
      <c r="N101" s="219">
        <f t="shared" si="32"/>
        <v>0</v>
      </c>
      <c r="O101" s="219">
        <f t="shared" si="32"/>
        <v>164.64</v>
      </c>
    </row>
    <row r="102" spans="1:15" x14ac:dyDescent="0.2">
      <c r="A102" s="1930">
        <v>33</v>
      </c>
      <c r="B102" s="224" t="s">
        <v>98</v>
      </c>
      <c r="C102" s="213">
        <v>309016</v>
      </c>
      <c r="D102" s="217">
        <f>ROUND((C102*(1+'Løntabel gældende fra'!$D$7%)),0)</f>
        <v>330549</v>
      </c>
      <c r="E102" s="215">
        <v>312375</v>
      </c>
      <c r="F102" s="216">
        <f>ROUND((E102*(1+'Løntabel gældende fra'!$D$7%)),0)</f>
        <v>334142</v>
      </c>
      <c r="G102" s="213">
        <v>314703</v>
      </c>
      <c r="H102" s="217">
        <f>ROUND((G102*(1+'Løntabel gældende fra'!$D$7%)),0)</f>
        <v>336632</v>
      </c>
      <c r="I102" s="215">
        <v>318063</v>
      </c>
      <c r="J102" s="216">
        <f>ROUND((I102*(1+'Løntabel gældende fra'!$D$7%)),0)</f>
        <v>340227</v>
      </c>
      <c r="K102" s="213">
        <v>320390</v>
      </c>
      <c r="L102" s="217">
        <f>ROUND((K102*(1+'Løntabel gældende fra'!$D$7%)),0)</f>
        <v>342716</v>
      </c>
      <c r="M102" s="474"/>
      <c r="N102" s="453">
        <v>301881.8</v>
      </c>
      <c r="O102" s="454">
        <f>ROUND(N102*(1+'Løntabel gældende fra'!$D$7%),2)</f>
        <v>322917.83</v>
      </c>
    </row>
    <row r="103" spans="1:15" x14ac:dyDescent="0.2">
      <c r="A103" s="1931"/>
      <c r="B103" s="457" t="s">
        <v>247</v>
      </c>
      <c r="C103" s="460"/>
      <c r="D103" s="467">
        <f>ROUND(D102/12,2)</f>
        <v>27545.75</v>
      </c>
      <c r="E103" s="464">
        <f>E102/12</f>
        <v>26031.25</v>
      </c>
      <c r="F103" s="449">
        <f>ROUND(F102/12,2)</f>
        <v>27845.17</v>
      </c>
      <c r="G103" s="460">
        <f>G102/12</f>
        <v>26225.25</v>
      </c>
      <c r="H103" s="467">
        <f>ROUND(H102/12,2)</f>
        <v>28052.67</v>
      </c>
      <c r="I103" s="464">
        <f>I102/12</f>
        <v>26505.25</v>
      </c>
      <c r="J103" s="449">
        <f>ROUND(J102/12,2)</f>
        <v>28352.25</v>
      </c>
      <c r="K103" s="460">
        <f>K102/12</f>
        <v>26699.166666666668</v>
      </c>
      <c r="L103" s="467">
        <f>ROUND(L102/12,2)</f>
        <v>28559.67</v>
      </c>
      <c r="M103" s="472"/>
      <c r="N103" s="450"/>
      <c r="O103" s="452">
        <f>ROUND(O102/12,2)</f>
        <v>26909.82</v>
      </c>
    </row>
    <row r="104" spans="1:15" ht="16" thickBot="1" x14ac:dyDescent="0.25">
      <c r="A104" s="1934"/>
      <c r="B104" s="459" t="s">
        <v>240</v>
      </c>
      <c r="C104" s="463">
        <f>C102/12</f>
        <v>25751.333333333332</v>
      </c>
      <c r="D104" s="219">
        <f>ROUND(D103/160.33,2)</f>
        <v>171.81</v>
      </c>
      <c r="E104" s="466"/>
      <c r="F104" s="219">
        <f t="shared" ref="F104:O104" si="33">ROUND(F103/160.33,2)</f>
        <v>173.67</v>
      </c>
      <c r="G104" s="219">
        <f t="shared" si="33"/>
        <v>163.57</v>
      </c>
      <c r="H104" s="219">
        <f t="shared" si="33"/>
        <v>174.97</v>
      </c>
      <c r="I104" s="219">
        <f t="shared" si="33"/>
        <v>165.32</v>
      </c>
      <c r="J104" s="219">
        <f t="shared" si="33"/>
        <v>176.84</v>
      </c>
      <c r="K104" s="219">
        <f t="shared" si="33"/>
        <v>166.53</v>
      </c>
      <c r="L104" s="219">
        <f t="shared" si="33"/>
        <v>178.13</v>
      </c>
      <c r="M104" s="219">
        <f t="shared" si="33"/>
        <v>0</v>
      </c>
      <c r="N104" s="219">
        <f t="shared" si="33"/>
        <v>0</v>
      </c>
      <c r="O104" s="219">
        <f t="shared" si="33"/>
        <v>167.84</v>
      </c>
    </row>
    <row r="105" spans="1:15" x14ac:dyDescent="0.2">
      <c r="A105" s="1933">
        <v>34</v>
      </c>
      <c r="B105" s="225" t="s">
        <v>98</v>
      </c>
      <c r="C105" s="221">
        <v>314298</v>
      </c>
      <c r="D105" s="214">
        <f>ROUND((C105*(1+'Løntabel gældende fra'!$D$7%)),0)</f>
        <v>336199</v>
      </c>
      <c r="E105" s="222">
        <v>317363</v>
      </c>
      <c r="F105" s="223">
        <f>ROUND((E105*(1+'Løntabel gældende fra'!$D$7%)),0)</f>
        <v>339478</v>
      </c>
      <c r="G105" s="221">
        <v>319485</v>
      </c>
      <c r="H105" s="214">
        <f>ROUND((G105*(1+'Løntabel gældende fra'!$D$7%)),0)</f>
        <v>341748</v>
      </c>
      <c r="I105" s="222">
        <v>322548</v>
      </c>
      <c r="J105" s="223">
        <f>ROUND((I105*(1+'Løntabel gældende fra'!$D$7%)),0)</f>
        <v>345024</v>
      </c>
      <c r="K105" s="221">
        <v>324670</v>
      </c>
      <c r="L105" s="214">
        <f>ROUND((K105*(1+'Løntabel gældende fra'!$D$7%)),0)</f>
        <v>347294</v>
      </c>
      <c r="M105" s="473"/>
      <c r="N105" s="451">
        <v>307790.62</v>
      </c>
      <c r="O105" s="228">
        <f>ROUND(N105*(1+'Løntabel gældende fra'!$D$7%),2)</f>
        <v>329238.39</v>
      </c>
    </row>
    <row r="106" spans="1:15" x14ac:dyDescent="0.2">
      <c r="A106" s="1931"/>
      <c r="B106" s="457" t="s">
        <v>247</v>
      </c>
      <c r="C106" s="460"/>
      <c r="D106" s="467">
        <f>ROUND(D105/12,2)</f>
        <v>28016.58</v>
      </c>
      <c r="E106" s="464">
        <f>E105/12</f>
        <v>26446.916666666668</v>
      </c>
      <c r="F106" s="449">
        <f>ROUND(F105/12,2)</f>
        <v>28289.83</v>
      </c>
      <c r="G106" s="460">
        <f>G105/12</f>
        <v>26623.75</v>
      </c>
      <c r="H106" s="467">
        <f>ROUND(H105/12,2)</f>
        <v>28479</v>
      </c>
      <c r="I106" s="464">
        <f>I105/12</f>
        <v>26879</v>
      </c>
      <c r="J106" s="449">
        <f>ROUND(J105/12,2)</f>
        <v>28752</v>
      </c>
      <c r="K106" s="460">
        <f>K105/12</f>
        <v>27055.833333333332</v>
      </c>
      <c r="L106" s="467">
        <f>ROUND(L105/12,2)</f>
        <v>28941.17</v>
      </c>
      <c r="M106" s="472"/>
      <c r="N106" s="450"/>
      <c r="O106" s="452">
        <f>ROUND(O105/12,2)</f>
        <v>27436.53</v>
      </c>
    </row>
    <row r="107" spans="1:15" ht="16" thickBot="1" x14ac:dyDescent="0.25">
      <c r="A107" s="1932"/>
      <c r="B107" s="458" t="s">
        <v>240</v>
      </c>
      <c r="C107" s="218">
        <f>C105/12</f>
        <v>26191.5</v>
      </c>
      <c r="D107" s="219">
        <f>ROUND(D106/160.33,2)</f>
        <v>174.74</v>
      </c>
      <c r="E107" s="465"/>
      <c r="F107" s="219">
        <f t="shared" ref="F107:O107" si="34">ROUND(F106/160.33,2)</f>
        <v>176.45</v>
      </c>
      <c r="G107" s="219">
        <f t="shared" si="34"/>
        <v>166.06</v>
      </c>
      <c r="H107" s="219">
        <f t="shared" si="34"/>
        <v>177.63</v>
      </c>
      <c r="I107" s="219">
        <f t="shared" si="34"/>
        <v>167.65</v>
      </c>
      <c r="J107" s="219">
        <f t="shared" si="34"/>
        <v>179.33</v>
      </c>
      <c r="K107" s="219">
        <f t="shared" si="34"/>
        <v>168.75</v>
      </c>
      <c r="L107" s="219">
        <f t="shared" si="34"/>
        <v>180.51</v>
      </c>
      <c r="M107" s="219">
        <f t="shared" si="34"/>
        <v>0</v>
      </c>
      <c r="N107" s="219">
        <f t="shared" si="34"/>
        <v>0</v>
      </c>
      <c r="O107" s="219">
        <f t="shared" si="34"/>
        <v>171.13</v>
      </c>
    </row>
    <row r="108" spans="1:15" x14ac:dyDescent="0.2">
      <c r="A108" s="1930">
        <v>35</v>
      </c>
      <c r="B108" s="224" t="s">
        <v>98</v>
      </c>
      <c r="C108" s="213">
        <v>319697</v>
      </c>
      <c r="D108" s="217">
        <f>ROUND((C108*(1+'Løntabel gældende fra'!$D$7%)),0)</f>
        <v>341974</v>
      </c>
      <c r="E108" s="215">
        <v>322450</v>
      </c>
      <c r="F108" s="216">
        <f>ROUND((E108*(1+'Løntabel gældende fra'!$D$7%)),0)</f>
        <v>344919</v>
      </c>
      <c r="G108" s="213">
        <v>324354</v>
      </c>
      <c r="H108" s="217">
        <f>ROUND((G108*(1+'Løntabel gældende fra'!$D$7%)),0)</f>
        <v>346956</v>
      </c>
      <c r="I108" s="215">
        <v>327107</v>
      </c>
      <c r="J108" s="216">
        <f>ROUND((I108*(1+'Løntabel gældende fra'!$D$7%)),0)</f>
        <v>349901</v>
      </c>
      <c r="K108" s="213">
        <v>329011</v>
      </c>
      <c r="L108" s="217">
        <f>ROUND((K108*(1+'Løntabel gældende fra'!$D$7%)),0)</f>
        <v>351937</v>
      </c>
      <c r="M108" s="474"/>
      <c r="N108" s="453">
        <v>313854.56</v>
      </c>
      <c r="O108" s="454">
        <f>ROUND(N108*(1+'Løntabel gældende fra'!$D$7%),2)</f>
        <v>335724.89</v>
      </c>
    </row>
    <row r="109" spans="1:15" x14ac:dyDescent="0.2">
      <c r="A109" s="1931"/>
      <c r="B109" s="457" t="s">
        <v>247</v>
      </c>
      <c r="C109" s="460"/>
      <c r="D109" s="467">
        <f>ROUND(D108/12,2)</f>
        <v>28497.83</v>
      </c>
      <c r="E109" s="464">
        <f>E108/12</f>
        <v>26870.833333333332</v>
      </c>
      <c r="F109" s="449">
        <f>ROUND(F108/12,2)</f>
        <v>28743.25</v>
      </c>
      <c r="G109" s="460">
        <f>G108/12</f>
        <v>27029.5</v>
      </c>
      <c r="H109" s="467">
        <f>ROUND(H108/12,2)</f>
        <v>28913</v>
      </c>
      <c r="I109" s="464">
        <f>I108/12</f>
        <v>27258.916666666668</v>
      </c>
      <c r="J109" s="449">
        <f>ROUND(J108/12,2)</f>
        <v>29158.42</v>
      </c>
      <c r="K109" s="460">
        <f>K108/12</f>
        <v>27417.583333333332</v>
      </c>
      <c r="L109" s="467">
        <f>ROUND(L108/12,2)</f>
        <v>29328.080000000002</v>
      </c>
      <c r="M109" s="472"/>
      <c r="N109" s="450"/>
      <c r="O109" s="452">
        <f>ROUND(O108/12,2)</f>
        <v>27977.07</v>
      </c>
    </row>
    <row r="110" spans="1:15" ht="16" thickBot="1" x14ac:dyDescent="0.25">
      <c r="A110" s="1934"/>
      <c r="B110" s="459" t="s">
        <v>240</v>
      </c>
      <c r="C110" s="463">
        <f>C108/12</f>
        <v>26641.416666666668</v>
      </c>
      <c r="D110" s="219">
        <f>ROUND(D109/160.33,2)</f>
        <v>177.74</v>
      </c>
      <c r="E110" s="466"/>
      <c r="F110" s="219">
        <f t="shared" ref="F110:O110" si="35">ROUND(F109/160.33,2)</f>
        <v>179.28</v>
      </c>
      <c r="G110" s="219">
        <f t="shared" si="35"/>
        <v>168.59</v>
      </c>
      <c r="H110" s="219">
        <f t="shared" si="35"/>
        <v>180.33</v>
      </c>
      <c r="I110" s="219">
        <f t="shared" si="35"/>
        <v>170.02</v>
      </c>
      <c r="J110" s="219">
        <f t="shared" si="35"/>
        <v>181.87</v>
      </c>
      <c r="K110" s="219">
        <f t="shared" si="35"/>
        <v>171.01</v>
      </c>
      <c r="L110" s="219">
        <f t="shared" si="35"/>
        <v>182.92</v>
      </c>
      <c r="M110" s="219">
        <f t="shared" si="35"/>
        <v>0</v>
      </c>
      <c r="N110" s="219">
        <f t="shared" si="35"/>
        <v>0</v>
      </c>
      <c r="O110" s="219">
        <f t="shared" si="35"/>
        <v>174.5</v>
      </c>
    </row>
    <row r="111" spans="1:15" x14ac:dyDescent="0.2">
      <c r="A111" s="1933">
        <v>36</v>
      </c>
      <c r="B111" s="225" t="s">
        <v>98</v>
      </c>
      <c r="C111" s="221">
        <v>325214</v>
      </c>
      <c r="D111" s="214">
        <f>ROUND((C111*(1+'Løntabel gældende fra'!$D$7%)),0)</f>
        <v>347876</v>
      </c>
      <c r="E111" s="222">
        <v>327634</v>
      </c>
      <c r="F111" s="223">
        <f>ROUND((E111*(1+'Løntabel gældende fra'!$D$7%)),0)</f>
        <v>350465</v>
      </c>
      <c r="G111" s="221">
        <v>329310</v>
      </c>
      <c r="H111" s="214">
        <f>ROUND((G111*(1+'Løntabel gældende fra'!$D$7%)),0)</f>
        <v>352257</v>
      </c>
      <c r="I111" s="222">
        <v>331731</v>
      </c>
      <c r="J111" s="223">
        <f>ROUND((I111*(1+'Løntabel gældende fra'!$D$7%)),0)</f>
        <v>354847</v>
      </c>
      <c r="K111" s="221">
        <v>333406</v>
      </c>
      <c r="L111" s="214">
        <f>ROUND((K111*(1+'Løntabel gældende fra'!$D$7%)),0)</f>
        <v>356639</v>
      </c>
      <c r="M111" s="473"/>
      <c r="N111" s="451">
        <v>320074.68</v>
      </c>
      <c r="O111" s="228">
        <f>ROUND(N111*(1+'Løntabel gældende fra'!$D$7%),2)</f>
        <v>342378.44</v>
      </c>
    </row>
    <row r="112" spans="1:15" x14ac:dyDescent="0.2">
      <c r="A112" s="1931"/>
      <c r="B112" s="457" t="s">
        <v>247</v>
      </c>
      <c r="C112" s="460"/>
      <c r="D112" s="467">
        <f>ROUND(D111/12,2)</f>
        <v>28989.67</v>
      </c>
      <c r="E112" s="464">
        <f>E111/12</f>
        <v>27302.833333333332</v>
      </c>
      <c r="F112" s="449">
        <f>ROUND(F111/12,2)</f>
        <v>29205.42</v>
      </c>
      <c r="G112" s="460">
        <f>G111/12</f>
        <v>27442.5</v>
      </c>
      <c r="H112" s="467">
        <f>ROUND(H111/12,2)</f>
        <v>29354.75</v>
      </c>
      <c r="I112" s="464">
        <f>I111/12</f>
        <v>27644.25</v>
      </c>
      <c r="J112" s="449">
        <f>ROUND(J111/12,2)</f>
        <v>29570.58</v>
      </c>
      <c r="K112" s="460">
        <f>K111/12</f>
        <v>27783.833333333332</v>
      </c>
      <c r="L112" s="467">
        <f>ROUND(L111/12,2)</f>
        <v>29719.919999999998</v>
      </c>
      <c r="M112" s="472"/>
      <c r="N112" s="450"/>
      <c r="O112" s="452">
        <f>ROUND(O111/12,2)</f>
        <v>28531.54</v>
      </c>
    </row>
    <row r="113" spans="1:15" ht="16" thickBot="1" x14ac:dyDescent="0.25">
      <c r="A113" s="1932"/>
      <c r="B113" s="458" t="s">
        <v>240</v>
      </c>
      <c r="C113" s="218">
        <f>C111/12</f>
        <v>27101.166666666668</v>
      </c>
      <c r="D113" s="219">
        <f>ROUND(D112/160.33,2)</f>
        <v>180.81</v>
      </c>
      <c r="E113" s="465"/>
      <c r="F113" s="219">
        <f t="shared" ref="F113:O113" si="36">ROUND(F112/160.33,2)</f>
        <v>182.16</v>
      </c>
      <c r="G113" s="219">
        <f t="shared" si="36"/>
        <v>171.16</v>
      </c>
      <c r="H113" s="219">
        <f t="shared" si="36"/>
        <v>183.09</v>
      </c>
      <c r="I113" s="219">
        <f t="shared" si="36"/>
        <v>172.42</v>
      </c>
      <c r="J113" s="219">
        <f t="shared" si="36"/>
        <v>184.44</v>
      </c>
      <c r="K113" s="219">
        <f t="shared" si="36"/>
        <v>173.29</v>
      </c>
      <c r="L113" s="219">
        <f t="shared" si="36"/>
        <v>185.37</v>
      </c>
      <c r="M113" s="219">
        <f t="shared" si="36"/>
        <v>0</v>
      </c>
      <c r="N113" s="219">
        <f t="shared" si="36"/>
        <v>0</v>
      </c>
      <c r="O113" s="219">
        <f t="shared" si="36"/>
        <v>177.96</v>
      </c>
    </row>
    <row r="114" spans="1:15" x14ac:dyDescent="0.2">
      <c r="A114" s="1930">
        <v>37</v>
      </c>
      <c r="B114" s="224" t="s">
        <v>98</v>
      </c>
      <c r="C114" s="213">
        <v>330853</v>
      </c>
      <c r="D114" s="217">
        <f>ROUND((C114*(1+'Løntabel gældende fra'!$D$7%)),0)</f>
        <v>353908</v>
      </c>
      <c r="E114" s="215">
        <v>332923</v>
      </c>
      <c r="F114" s="216">
        <f>ROUND((E114*(1+'Løntabel gældende fra'!$D$7%)),0)</f>
        <v>356122</v>
      </c>
      <c r="G114" s="213">
        <v>334355</v>
      </c>
      <c r="H114" s="217">
        <f>ROUND((G114*(1+'Løntabel gældende fra'!$D$7%)),0)</f>
        <v>357654</v>
      </c>
      <c r="I114" s="215">
        <v>336425</v>
      </c>
      <c r="J114" s="216">
        <f>ROUND((I114*(1+'Løntabel gældende fra'!$D$7%)),0)</f>
        <v>359868</v>
      </c>
      <c r="K114" s="213">
        <v>337859</v>
      </c>
      <c r="L114" s="217">
        <f>ROUND((K114*(1+'Løntabel gældende fra'!$D$7%)),0)</f>
        <v>361402</v>
      </c>
      <c r="M114" s="474"/>
      <c r="N114" s="453">
        <v>326457.34000000003</v>
      </c>
      <c r="O114" s="454">
        <f>ROUND(N114*(1+'Løntabel gældende fra'!$D$7%),2)</f>
        <v>349205.87</v>
      </c>
    </row>
    <row r="115" spans="1:15" x14ac:dyDescent="0.2">
      <c r="A115" s="1931"/>
      <c r="B115" s="457" t="s">
        <v>247</v>
      </c>
      <c r="C115" s="460"/>
      <c r="D115" s="467">
        <f>ROUND(D114/12,2)</f>
        <v>29492.33</v>
      </c>
      <c r="E115" s="464">
        <f>E114/12</f>
        <v>27743.583333333332</v>
      </c>
      <c r="F115" s="449">
        <f>ROUND(F114/12,2)</f>
        <v>29676.83</v>
      </c>
      <c r="G115" s="460">
        <f>G114/12</f>
        <v>27862.916666666668</v>
      </c>
      <c r="H115" s="467">
        <f>ROUND(H114/12,2)</f>
        <v>29804.5</v>
      </c>
      <c r="I115" s="464">
        <f>I114/12</f>
        <v>28035.416666666668</v>
      </c>
      <c r="J115" s="449">
        <f>ROUND(J114/12,2)</f>
        <v>29989</v>
      </c>
      <c r="K115" s="460">
        <f>K114/12</f>
        <v>28154.916666666668</v>
      </c>
      <c r="L115" s="467">
        <f>ROUND(L114/12,2)</f>
        <v>30116.83</v>
      </c>
      <c r="M115" s="472"/>
      <c r="N115" s="450"/>
      <c r="O115" s="452">
        <f>ROUND(O114/12,2)</f>
        <v>29100.49</v>
      </c>
    </row>
    <row r="116" spans="1:15" ht="16" thickBot="1" x14ac:dyDescent="0.25">
      <c r="A116" s="1934"/>
      <c r="B116" s="459" t="s">
        <v>240</v>
      </c>
      <c r="C116" s="463">
        <f>C114/12</f>
        <v>27571.083333333332</v>
      </c>
      <c r="D116" s="219">
        <f>ROUND(D115/160.33,2)</f>
        <v>183.95</v>
      </c>
      <c r="E116" s="466"/>
      <c r="F116" s="219">
        <f t="shared" ref="F116:O116" si="37">ROUND(F115/160.33,2)</f>
        <v>185.1</v>
      </c>
      <c r="G116" s="219">
        <f t="shared" si="37"/>
        <v>173.78</v>
      </c>
      <c r="H116" s="219">
        <f t="shared" si="37"/>
        <v>185.89</v>
      </c>
      <c r="I116" s="219">
        <f t="shared" si="37"/>
        <v>174.86</v>
      </c>
      <c r="J116" s="219">
        <f t="shared" si="37"/>
        <v>187.05</v>
      </c>
      <c r="K116" s="219">
        <f t="shared" si="37"/>
        <v>175.61</v>
      </c>
      <c r="L116" s="219">
        <f t="shared" si="37"/>
        <v>187.84</v>
      </c>
      <c r="M116" s="219">
        <f t="shared" si="37"/>
        <v>0</v>
      </c>
      <c r="N116" s="219">
        <f t="shared" si="37"/>
        <v>0</v>
      </c>
      <c r="O116" s="219">
        <f t="shared" si="37"/>
        <v>181.5</v>
      </c>
    </row>
    <row r="117" spans="1:15" x14ac:dyDescent="0.2">
      <c r="A117" s="1933">
        <v>38</v>
      </c>
      <c r="B117" s="225" t="s">
        <v>98</v>
      </c>
      <c r="C117" s="221">
        <v>336808</v>
      </c>
      <c r="D117" s="214">
        <f>ROUND((C117*(1+'Løntabel gældende fra'!$D$7%)),0)</f>
        <v>360278</v>
      </c>
      <c r="E117" s="222">
        <v>338540</v>
      </c>
      <c r="F117" s="223">
        <f>ROUND((E117*(1+'Løntabel gældende fra'!$D$7%)),0)</f>
        <v>362130</v>
      </c>
      <c r="G117" s="221">
        <v>339739</v>
      </c>
      <c r="H117" s="214">
        <f>ROUND((G117*(1+'Løntabel gældende fra'!$D$7%)),0)</f>
        <v>363413</v>
      </c>
      <c r="I117" s="222">
        <v>341471</v>
      </c>
      <c r="J117" s="223">
        <f>ROUND((I117*(1+'Løntabel gældende fra'!$D$7%)),0)</f>
        <v>365266</v>
      </c>
      <c r="K117" s="221">
        <v>342672</v>
      </c>
      <c r="L117" s="214">
        <f>ROUND((K117*(1+'Løntabel gældende fra'!$D$7%)),0)</f>
        <v>366550</v>
      </c>
      <c r="M117" s="473"/>
      <c r="N117" s="451">
        <v>333128.88</v>
      </c>
      <c r="O117" s="228">
        <f>ROUND(N117*(1+'Løntabel gældende fra'!$D$7%),2)</f>
        <v>356342.3</v>
      </c>
    </row>
    <row r="118" spans="1:15" x14ac:dyDescent="0.2">
      <c r="A118" s="1931"/>
      <c r="B118" s="457" t="s">
        <v>247</v>
      </c>
      <c r="C118" s="460"/>
      <c r="D118" s="467">
        <f>ROUND(D117/12,2)</f>
        <v>30023.17</v>
      </c>
      <c r="E118" s="464">
        <f>E117/12</f>
        <v>28211.666666666668</v>
      </c>
      <c r="F118" s="449">
        <f>ROUND(F117/12,2)</f>
        <v>30177.5</v>
      </c>
      <c r="G118" s="460">
        <f>G117/12</f>
        <v>28311.583333333332</v>
      </c>
      <c r="H118" s="467">
        <f>ROUND(H117/12,2)</f>
        <v>30284.42</v>
      </c>
      <c r="I118" s="464">
        <f>I117/12</f>
        <v>28455.916666666668</v>
      </c>
      <c r="J118" s="449">
        <f>ROUND(J117/12,2)</f>
        <v>30438.83</v>
      </c>
      <c r="K118" s="460">
        <f>K117/12</f>
        <v>28556</v>
      </c>
      <c r="L118" s="467">
        <f>ROUND(L117/12,2)</f>
        <v>30545.83</v>
      </c>
      <c r="M118" s="472"/>
      <c r="N118" s="450"/>
      <c r="O118" s="452">
        <f>ROUND(O117/12,2)</f>
        <v>29695.19</v>
      </c>
    </row>
    <row r="119" spans="1:15" ht="16" thickBot="1" x14ac:dyDescent="0.25">
      <c r="A119" s="1932"/>
      <c r="B119" s="458" t="s">
        <v>240</v>
      </c>
      <c r="C119" s="218">
        <f>C117/12</f>
        <v>28067.333333333332</v>
      </c>
      <c r="D119" s="219">
        <f>ROUND(D118/160.33,2)</f>
        <v>187.26</v>
      </c>
      <c r="E119" s="465"/>
      <c r="F119" s="219">
        <f t="shared" ref="F119:O119" si="38">ROUND(F118/160.33,2)</f>
        <v>188.22</v>
      </c>
      <c r="G119" s="219">
        <f t="shared" si="38"/>
        <v>176.58</v>
      </c>
      <c r="H119" s="219">
        <f t="shared" si="38"/>
        <v>188.89</v>
      </c>
      <c r="I119" s="219">
        <f t="shared" si="38"/>
        <v>177.48</v>
      </c>
      <c r="J119" s="219">
        <f t="shared" si="38"/>
        <v>189.85</v>
      </c>
      <c r="K119" s="219">
        <f t="shared" si="38"/>
        <v>178.11</v>
      </c>
      <c r="L119" s="219">
        <f t="shared" si="38"/>
        <v>190.52</v>
      </c>
      <c r="M119" s="219">
        <f t="shared" si="38"/>
        <v>0</v>
      </c>
      <c r="N119" s="219">
        <f t="shared" si="38"/>
        <v>0</v>
      </c>
      <c r="O119" s="219">
        <f t="shared" si="38"/>
        <v>185.21</v>
      </c>
    </row>
    <row r="120" spans="1:15" x14ac:dyDescent="0.2">
      <c r="A120" s="1930">
        <v>39</v>
      </c>
      <c r="B120" s="224" t="s">
        <v>98</v>
      </c>
      <c r="C120" s="213">
        <v>342821</v>
      </c>
      <c r="D120" s="217">
        <f>ROUND((C120*(1+'Løntabel gældende fra'!$D$7%)),0)</f>
        <v>366710</v>
      </c>
      <c r="E120" s="215">
        <v>344156</v>
      </c>
      <c r="F120" s="216">
        <f>ROUND((E120*(1+'Løntabel gældende fra'!$D$7%)),0)</f>
        <v>368138</v>
      </c>
      <c r="G120" s="213">
        <v>345080</v>
      </c>
      <c r="H120" s="217">
        <f>ROUND((G120*(1+'Løntabel gældende fra'!$D$7%)),0)</f>
        <v>369126</v>
      </c>
      <c r="I120" s="215">
        <v>346413</v>
      </c>
      <c r="J120" s="216">
        <f>ROUND((I120*(1+'Løntabel gældende fra'!$D$7%)),0)</f>
        <v>370552</v>
      </c>
      <c r="K120" s="213">
        <v>347337</v>
      </c>
      <c r="L120" s="217">
        <f>ROUND((K120*(1+'Løntabel gældende fra'!$D$7%)),0)</f>
        <v>371540</v>
      </c>
      <c r="M120" s="474"/>
      <c r="N120" s="453">
        <v>339989.41</v>
      </c>
      <c r="O120" s="454">
        <f>ROUND(N120*(1+'Løntabel gældende fra'!$D$7%),2)</f>
        <v>363680.89</v>
      </c>
    </row>
    <row r="121" spans="1:15" x14ac:dyDescent="0.2">
      <c r="A121" s="1931"/>
      <c r="B121" s="457" t="s">
        <v>247</v>
      </c>
      <c r="C121" s="460"/>
      <c r="D121" s="467">
        <f>ROUND(D120/12,2)</f>
        <v>30559.17</v>
      </c>
      <c r="E121" s="464">
        <f>E120/12</f>
        <v>28679.666666666668</v>
      </c>
      <c r="F121" s="449">
        <f>ROUND(F120/12,2)</f>
        <v>30678.17</v>
      </c>
      <c r="G121" s="460">
        <f>G120/12</f>
        <v>28756.666666666668</v>
      </c>
      <c r="H121" s="467">
        <f>ROUND(H120/12,2)</f>
        <v>30760.5</v>
      </c>
      <c r="I121" s="464">
        <f>I120/12</f>
        <v>28867.75</v>
      </c>
      <c r="J121" s="449">
        <f>ROUND(J120/12,2)</f>
        <v>30879.33</v>
      </c>
      <c r="K121" s="460">
        <f>K120/12</f>
        <v>28944.75</v>
      </c>
      <c r="L121" s="467">
        <f>ROUND(L120/12,2)</f>
        <v>30961.67</v>
      </c>
      <c r="M121" s="472"/>
      <c r="N121" s="450"/>
      <c r="O121" s="452">
        <f>ROUND(O120/12,2)</f>
        <v>30306.74</v>
      </c>
    </row>
    <row r="122" spans="1:15" ht="16" thickBot="1" x14ac:dyDescent="0.25">
      <c r="A122" s="1934"/>
      <c r="B122" s="459" t="s">
        <v>240</v>
      </c>
      <c r="C122" s="463">
        <f>C120/12</f>
        <v>28568.416666666668</v>
      </c>
      <c r="D122" s="219">
        <f>ROUND(D121/160.33,2)</f>
        <v>190.6</v>
      </c>
      <c r="E122" s="466"/>
      <c r="F122" s="219">
        <f t="shared" ref="F122:O122" si="39">ROUND(F121/160.33,2)</f>
        <v>191.34</v>
      </c>
      <c r="G122" s="219">
        <f t="shared" si="39"/>
        <v>179.36</v>
      </c>
      <c r="H122" s="219">
        <f t="shared" si="39"/>
        <v>191.86</v>
      </c>
      <c r="I122" s="219">
        <f t="shared" si="39"/>
        <v>180.05</v>
      </c>
      <c r="J122" s="219">
        <f t="shared" si="39"/>
        <v>192.6</v>
      </c>
      <c r="K122" s="219">
        <f t="shared" si="39"/>
        <v>180.53</v>
      </c>
      <c r="L122" s="219">
        <f t="shared" si="39"/>
        <v>193.11</v>
      </c>
      <c r="M122" s="219">
        <f t="shared" si="39"/>
        <v>0</v>
      </c>
      <c r="N122" s="219">
        <f t="shared" si="39"/>
        <v>0</v>
      </c>
      <c r="O122" s="219">
        <f t="shared" si="39"/>
        <v>189.03</v>
      </c>
    </row>
    <row r="123" spans="1:15" x14ac:dyDescent="0.2">
      <c r="A123" s="1933">
        <v>40</v>
      </c>
      <c r="B123" s="225" t="s">
        <v>98</v>
      </c>
      <c r="C123" s="221">
        <v>348966</v>
      </c>
      <c r="D123" s="214">
        <f>ROUND((C123*(1+'Løntabel gældende fra'!$D$7%)),0)</f>
        <v>373283</v>
      </c>
      <c r="E123" s="222">
        <v>349878</v>
      </c>
      <c r="F123" s="223">
        <f>ROUND((E123*(1+'Løntabel gældende fra'!$D$7%)),0)</f>
        <v>374259</v>
      </c>
      <c r="G123" s="221">
        <v>350510</v>
      </c>
      <c r="H123" s="214">
        <f>ROUND((G123*(1+'Løntabel gældende fra'!$D$7%)),0)</f>
        <v>374935</v>
      </c>
      <c r="I123" s="222">
        <v>351422</v>
      </c>
      <c r="J123" s="223">
        <f>ROUND((I123*(1+'Løntabel gældende fra'!$D$7%)),0)</f>
        <v>375910</v>
      </c>
      <c r="K123" s="221">
        <v>352054</v>
      </c>
      <c r="L123" s="214">
        <f>ROUND((K123*(1+'Løntabel gældende fra'!$D$7%)),0)</f>
        <v>376586</v>
      </c>
      <c r="M123" s="473"/>
      <c r="N123" s="451">
        <v>347027.46</v>
      </c>
      <c r="O123" s="228">
        <f>ROUND(N123*(1+'Løntabel gældende fra'!$D$7%),2)</f>
        <v>371209.37</v>
      </c>
    </row>
    <row r="124" spans="1:15" x14ac:dyDescent="0.2">
      <c r="A124" s="1931"/>
      <c r="B124" s="457" t="s">
        <v>247</v>
      </c>
      <c r="C124" s="460"/>
      <c r="D124" s="467">
        <f>ROUND(D123/12,2)</f>
        <v>31106.92</v>
      </c>
      <c r="E124" s="464">
        <f>E123/12</f>
        <v>29156.5</v>
      </c>
      <c r="F124" s="449">
        <f>ROUND(F123/12,2)</f>
        <v>31188.25</v>
      </c>
      <c r="G124" s="460">
        <f>G123/12</f>
        <v>29209.166666666668</v>
      </c>
      <c r="H124" s="467">
        <f>ROUND(H123/12,2)</f>
        <v>31244.58</v>
      </c>
      <c r="I124" s="464">
        <f>I123/12</f>
        <v>29285.166666666668</v>
      </c>
      <c r="J124" s="449">
        <f>ROUND(J123/12,2)</f>
        <v>31325.83</v>
      </c>
      <c r="K124" s="460">
        <f>K123/12</f>
        <v>29337.833333333332</v>
      </c>
      <c r="L124" s="467">
        <f>ROUND(L123/12,2)</f>
        <v>31382.17</v>
      </c>
      <c r="M124" s="472"/>
      <c r="N124" s="450"/>
      <c r="O124" s="452">
        <f>ROUND(O123/12,2)</f>
        <v>30934.11</v>
      </c>
    </row>
    <row r="125" spans="1:15" ht="16" thickBot="1" x14ac:dyDescent="0.25">
      <c r="A125" s="1932"/>
      <c r="B125" s="458" t="s">
        <v>240</v>
      </c>
      <c r="C125" s="218">
        <f>C123/12</f>
        <v>29080.5</v>
      </c>
      <c r="D125" s="219">
        <f>ROUND(D124/160.33,2)</f>
        <v>194.02</v>
      </c>
      <c r="E125" s="465"/>
      <c r="F125" s="219">
        <f t="shared" ref="F125:O125" si="40">ROUND(F124/160.33,2)</f>
        <v>194.53</v>
      </c>
      <c r="G125" s="219">
        <f t="shared" si="40"/>
        <v>182.18</v>
      </c>
      <c r="H125" s="219">
        <f t="shared" si="40"/>
        <v>194.88</v>
      </c>
      <c r="I125" s="219">
        <f t="shared" si="40"/>
        <v>182.66</v>
      </c>
      <c r="J125" s="219">
        <f t="shared" si="40"/>
        <v>195.38</v>
      </c>
      <c r="K125" s="219">
        <f t="shared" si="40"/>
        <v>182.98</v>
      </c>
      <c r="L125" s="219">
        <f t="shared" si="40"/>
        <v>195.73</v>
      </c>
      <c r="M125" s="219">
        <f t="shared" si="40"/>
        <v>0</v>
      </c>
      <c r="N125" s="219">
        <f t="shared" si="40"/>
        <v>0</v>
      </c>
      <c r="O125" s="219">
        <f t="shared" si="40"/>
        <v>192.94</v>
      </c>
    </row>
    <row r="126" spans="1:15" x14ac:dyDescent="0.2">
      <c r="A126" s="1930">
        <v>41</v>
      </c>
      <c r="B126" s="224" t="s">
        <v>98</v>
      </c>
      <c r="C126" s="213">
        <v>355245</v>
      </c>
      <c r="D126" s="217">
        <f>ROUND((C126*(1+'Løntabel gældende fra'!$D$7%)),0)</f>
        <v>380000</v>
      </c>
      <c r="E126" s="215">
        <v>355712</v>
      </c>
      <c r="F126" s="216">
        <f>ROUND((E126*(1+'Løntabel gældende fra'!$D$7%)),0)</f>
        <v>380499</v>
      </c>
      <c r="G126" s="213">
        <v>356037</v>
      </c>
      <c r="H126" s="217">
        <f>ROUND((G126*(1+'Løntabel gældende fra'!$D$7%)),0)</f>
        <v>380847</v>
      </c>
      <c r="I126" s="215">
        <v>356505</v>
      </c>
      <c r="J126" s="216">
        <f>ROUND((I126*(1+'Løntabel gældende fra'!$D$7%)),0)</f>
        <v>381347</v>
      </c>
      <c r="K126" s="213">
        <v>356828</v>
      </c>
      <c r="L126" s="217">
        <f>ROUND((K126*(1+'Løntabel gældende fra'!$D$7%)),0)</f>
        <v>381693</v>
      </c>
      <c r="M126" s="474"/>
      <c r="N126" s="453">
        <v>354249.23</v>
      </c>
      <c r="O126" s="454">
        <f>ROUND(N126*(1+'Løntabel gældende fra'!$D$7%),2)</f>
        <v>378934.38</v>
      </c>
    </row>
    <row r="127" spans="1:15" x14ac:dyDescent="0.2">
      <c r="A127" s="1931"/>
      <c r="B127" s="457" t="s">
        <v>247</v>
      </c>
      <c r="C127" s="460"/>
      <c r="D127" s="467">
        <f>ROUND(D126/12,2)</f>
        <v>31666.67</v>
      </c>
      <c r="E127" s="464">
        <f>E126/12</f>
        <v>29642.666666666668</v>
      </c>
      <c r="F127" s="449">
        <f>ROUND(F126/12,2)</f>
        <v>31708.25</v>
      </c>
      <c r="G127" s="460">
        <f>G126/12</f>
        <v>29669.75</v>
      </c>
      <c r="H127" s="467">
        <f>ROUND(H126/12,2)</f>
        <v>31737.25</v>
      </c>
      <c r="I127" s="464">
        <f>I126/12</f>
        <v>29708.75</v>
      </c>
      <c r="J127" s="449">
        <f>ROUND(J126/12,2)</f>
        <v>31778.92</v>
      </c>
      <c r="K127" s="460">
        <f>K126/12</f>
        <v>29735.666666666668</v>
      </c>
      <c r="L127" s="467">
        <f>ROUND(L126/12,2)</f>
        <v>31807.75</v>
      </c>
      <c r="M127" s="472"/>
      <c r="N127" s="450"/>
      <c r="O127" s="452">
        <f>ROUND(O126/12,2)</f>
        <v>31577.87</v>
      </c>
    </row>
    <row r="128" spans="1:15" ht="16" thickBot="1" x14ac:dyDescent="0.25">
      <c r="A128" s="1934"/>
      <c r="B128" s="459" t="s">
        <v>240</v>
      </c>
      <c r="C128" s="463">
        <f>C126/12</f>
        <v>29603.75</v>
      </c>
      <c r="D128" s="219">
        <f>ROUND(D127/160.33,2)</f>
        <v>197.51</v>
      </c>
      <c r="E128" s="466"/>
      <c r="F128" s="219">
        <f t="shared" ref="F128:O128" si="41">ROUND(F127/160.33,2)</f>
        <v>197.77</v>
      </c>
      <c r="G128" s="219">
        <f t="shared" si="41"/>
        <v>185.05</v>
      </c>
      <c r="H128" s="219">
        <f t="shared" si="41"/>
        <v>197.95</v>
      </c>
      <c r="I128" s="219">
        <f t="shared" si="41"/>
        <v>185.3</v>
      </c>
      <c r="J128" s="219">
        <f t="shared" si="41"/>
        <v>198.21</v>
      </c>
      <c r="K128" s="219">
        <f t="shared" si="41"/>
        <v>185.47</v>
      </c>
      <c r="L128" s="219">
        <f t="shared" si="41"/>
        <v>198.39</v>
      </c>
      <c r="M128" s="219">
        <f t="shared" si="41"/>
        <v>0</v>
      </c>
      <c r="N128" s="219">
        <f t="shared" si="41"/>
        <v>0</v>
      </c>
      <c r="O128" s="219">
        <f t="shared" si="41"/>
        <v>196.96</v>
      </c>
    </row>
    <row r="129" spans="1:15" x14ac:dyDescent="0.2">
      <c r="A129" s="1933">
        <v>42</v>
      </c>
      <c r="B129" s="225" t="s">
        <v>98</v>
      </c>
      <c r="C129" s="221">
        <v>361660</v>
      </c>
      <c r="D129" s="214">
        <f>ROUND((C129*(1+'Løntabel gældende fra'!$D$7%)),0)</f>
        <v>386862</v>
      </c>
      <c r="E129" s="222">
        <v>361660</v>
      </c>
      <c r="F129" s="223">
        <f>ROUND((E129*(1+'Løntabel gældende fra'!$D$7%)),0)</f>
        <v>386862</v>
      </c>
      <c r="G129" s="221">
        <v>361660</v>
      </c>
      <c r="H129" s="214">
        <f>ROUND((G129*(1+'Løntabel gældende fra'!$D$7%)),0)</f>
        <v>386862</v>
      </c>
      <c r="I129" s="222">
        <v>361660</v>
      </c>
      <c r="J129" s="223">
        <f>ROUND((I129*(1+'Løntabel gældende fra'!$D$7%)),0)</f>
        <v>386862</v>
      </c>
      <c r="K129" s="221">
        <v>361660</v>
      </c>
      <c r="L129" s="214">
        <f>ROUND((K129*(1+'Løntabel gældende fra'!$D$7%)),0)</f>
        <v>386862</v>
      </c>
      <c r="M129" s="473"/>
      <c r="N129" s="451">
        <v>361659.2</v>
      </c>
      <c r="O129" s="228">
        <f>ROUND(N129*(1+'Løntabel gældende fra'!$D$7%),2)</f>
        <v>386860.7</v>
      </c>
    </row>
    <row r="130" spans="1:15" x14ac:dyDescent="0.2">
      <c r="A130" s="1931"/>
      <c r="B130" s="457" t="s">
        <v>247</v>
      </c>
      <c r="C130" s="460"/>
      <c r="D130" s="467">
        <f>ROUND(D129/12,2)</f>
        <v>32238.5</v>
      </c>
      <c r="E130" s="464">
        <f>E129/12</f>
        <v>30138.333333333332</v>
      </c>
      <c r="F130" s="449">
        <f>ROUND(F129/12,2)</f>
        <v>32238.5</v>
      </c>
      <c r="G130" s="460">
        <f>G129/12</f>
        <v>30138.333333333332</v>
      </c>
      <c r="H130" s="467">
        <f>ROUND(H129/12,2)</f>
        <v>32238.5</v>
      </c>
      <c r="I130" s="464">
        <f>I129/12</f>
        <v>30138.333333333332</v>
      </c>
      <c r="J130" s="449">
        <f>ROUND(J129/12,2)</f>
        <v>32238.5</v>
      </c>
      <c r="K130" s="460">
        <f>K129/12</f>
        <v>30138.333333333332</v>
      </c>
      <c r="L130" s="467">
        <f>ROUND(L129/12,2)</f>
        <v>32238.5</v>
      </c>
      <c r="M130" s="472"/>
      <c r="N130" s="450"/>
      <c r="O130" s="452">
        <f>ROUND(O129/12,2)</f>
        <v>32238.39</v>
      </c>
    </row>
    <row r="131" spans="1:15" ht="16" thickBot="1" x14ac:dyDescent="0.25">
      <c r="A131" s="1932"/>
      <c r="B131" s="458" t="s">
        <v>240</v>
      </c>
      <c r="C131" s="218">
        <f>C129/12</f>
        <v>30138.333333333332</v>
      </c>
      <c r="D131" s="219">
        <f>ROUND(D130/160.33,2)</f>
        <v>201.08</v>
      </c>
      <c r="E131" s="465"/>
      <c r="F131" s="219">
        <f t="shared" ref="F131:O131" si="42">ROUND(F130/160.33,2)</f>
        <v>201.08</v>
      </c>
      <c r="G131" s="219">
        <f t="shared" si="42"/>
        <v>187.98</v>
      </c>
      <c r="H131" s="219">
        <f t="shared" si="42"/>
        <v>201.08</v>
      </c>
      <c r="I131" s="219">
        <f t="shared" si="42"/>
        <v>187.98</v>
      </c>
      <c r="J131" s="219">
        <f t="shared" si="42"/>
        <v>201.08</v>
      </c>
      <c r="K131" s="219">
        <f t="shared" si="42"/>
        <v>187.98</v>
      </c>
      <c r="L131" s="219">
        <f t="shared" si="42"/>
        <v>201.08</v>
      </c>
      <c r="M131" s="219">
        <f t="shared" si="42"/>
        <v>0</v>
      </c>
      <c r="N131" s="219">
        <f t="shared" si="42"/>
        <v>0</v>
      </c>
      <c r="O131" s="219">
        <f t="shared" si="42"/>
        <v>201.08</v>
      </c>
    </row>
    <row r="132" spans="1:15" x14ac:dyDescent="0.2">
      <c r="A132" s="1930">
        <v>43</v>
      </c>
      <c r="B132" s="224" t="s">
        <v>98</v>
      </c>
      <c r="C132" s="213">
        <v>369689</v>
      </c>
      <c r="D132" s="217">
        <f>ROUND((C132*(1+'Løntabel gældende fra'!$D$7%)),0)</f>
        <v>395450</v>
      </c>
      <c r="E132" s="215">
        <v>369689</v>
      </c>
      <c r="F132" s="216">
        <f>ROUND((E132*(1+'Løntabel gældende fra'!$D$7%)),0)</f>
        <v>395450</v>
      </c>
      <c r="G132" s="213">
        <v>369689</v>
      </c>
      <c r="H132" s="217">
        <f>ROUND((G132*(1+'Løntabel gældende fra'!$D$7%)),0)</f>
        <v>395450</v>
      </c>
      <c r="I132" s="215">
        <v>369689</v>
      </c>
      <c r="J132" s="216">
        <f>ROUND((I132*(1+'Løntabel gældende fra'!$D$7%)),0)</f>
        <v>395450</v>
      </c>
      <c r="K132" s="213">
        <v>369689</v>
      </c>
      <c r="L132" s="217">
        <f>ROUND((K132*(1+'Løntabel gældende fra'!$D$7%)),0)</f>
        <v>395450</v>
      </c>
      <c r="M132" s="474"/>
      <c r="N132" s="453">
        <v>369688.53</v>
      </c>
      <c r="O132" s="454">
        <f>ROUND(N132*(1+'Løntabel gældende fra'!$D$7%),2)</f>
        <v>395449.54</v>
      </c>
    </row>
    <row r="133" spans="1:15" x14ac:dyDescent="0.2">
      <c r="A133" s="1931"/>
      <c r="B133" s="457" t="s">
        <v>247</v>
      </c>
      <c r="C133" s="460"/>
      <c r="D133" s="467">
        <f>ROUND(D132/12,2)</f>
        <v>32954.17</v>
      </c>
      <c r="E133" s="464">
        <f>E132/12</f>
        <v>30807.416666666668</v>
      </c>
      <c r="F133" s="449">
        <f>ROUND(F132/12,2)</f>
        <v>32954.17</v>
      </c>
      <c r="G133" s="460">
        <f>G132/12</f>
        <v>30807.416666666668</v>
      </c>
      <c r="H133" s="467">
        <f>ROUND(H132/12,2)</f>
        <v>32954.17</v>
      </c>
      <c r="I133" s="464">
        <f>I132/12</f>
        <v>30807.416666666668</v>
      </c>
      <c r="J133" s="449">
        <f>ROUND(J132/12,2)</f>
        <v>32954.17</v>
      </c>
      <c r="K133" s="460">
        <f>K132/12</f>
        <v>30807.416666666668</v>
      </c>
      <c r="L133" s="467">
        <f>ROUND(L132/12,2)</f>
        <v>32954.17</v>
      </c>
      <c r="M133" s="472"/>
      <c r="N133" s="450"/>
      <c r="O133" s="452">
        <f>ROUND(O132/12,2)</f>
        <v>32954.129999999997</v>
      </c>
    </row>
    <row r="134" spans="1:15" ht="16" thickBot="1" x14ac:dyDescent="0.25">
      <c r="A134" s="1934"/>
      <c r="B134" s="459" t="s">
        <v>240</v>
      </c>
      <c r="C134" s="463">
        <f>C132/12</f>
        <v>30807.416666666668</v>
      </c>
      <c r="D134" s="219">
        <f>ROUND(D133/160.33,2)</f>
        <v>205.54</v>
      </c>
      <c r="E134" s="466"/>
      <c r="F134" s="219">
        <f t="shared" ref="F134:O134" si="43">ROUND(F133/160.33,2)</f>
        <v>205.54</v>
      </c>
      <c r="G134" s="219">
        <f t="shared" si="43"/>
        <v>192.15</v>
      </c>
      <c r="H134" s="219">
        <f t="shared" si="43"/>
        <v>205.54</v>
      </c>
      <c r="I134" s="219">
        <f t="shared" si="43"/>
        <v>192.15</v>
      </c>
      <c r="J134" s="219">
        <f t="shared" si="43"/>
        <v>205.54</v>
      </c>
      <c r="K134" s="219">
        <f t="shared" si="43"/>
        <v>192.15</v>
      </c>
      <c r="L134" s="219">
        <f t="shared" si="43"/>
        <v>205.54</v>
      </c>
      <c r="M134" s="219">
        <f t="shared" si="43"/>
        <v>0</v>
      </c>
      <c r="N134" s="219">
        <f t="shared" si="43"/>
        <v>0</v>
      </c>
      <c r="O134" s="219">
        <f t="shared" si="43"/>
        <v>205.54</v>
      </c>
    </row>
    <row r="135" spans="1:15" x14ac:dyDescent="0.2">
      <c r="A135" s="1933">
        <v>44</v>
      </c>
      <c r="B135" s="225" t="s">
        <v>98</v>
      </c>
      <c r="C135" s="221">
        <v>377937</v>
      </c>
      <c r="D135" s="214">
        <f>ROUND((C135*(1+'Løntabel gældende fra'!$D$7%)),0)</f>
        <v>404273</v>
      </c>
      <c r="E135" s="222">
        <v>377937</v>
      </c>
      <c r="F135" s="223">
        <f>ROUND((E135*(1+'Løntabel gældende fra'!$D$7%)),0)</f>
        <v>404273</v>
      </c>
      <c r="G135" s="221">
        <v>377937</v>
      </c>
      <c r="H135" s="214">
        <f>ROUND((G135*(1+'Løntabel gældende fra'!$D$7%)),0)</f>
        <v>404273</v>
      </c>
      <c r="I135" s="222">
        <v>377937</v>
      </c>
      <c r="J135" s="223">
        <f>ROUND((I135*(1+'Løntabel gældende fra'!$D$7%)),0)</f>
        <v>404273</v>
      </c>
      <c r="K135" s="221">
        <v>377937</v>
      </c>
      <c r="L135" s="214">
        <f>ROUND((K135*(1+'Løntabel gældende fra'!$D$7%)),0)</f>
        <v>404273</v>
      </c>
      <c r="M135" s="473"/>
      <c r="N135" s="451">
        <v>377937.3</v>
      </c>
      <c r="O135" s="228">
        <f>ROUND(N135*(1+'Løntabel gældende fra'!$D$7%),2)</f>
        <v>404273.1</v>
      </c>
    </row>
    <row r="136" spans="1:15" x14ac:dyDescent="0.2">
      <c r="A136" s="1931"/>
      <c r="B136" s="457" t="s">
        <v>247</v>
      </c>
      <c r="C136" s="460"/>
      <c r="D136" s="467">
        <f>ROUND(D135/12,2)</f>
        <v>33689.42</v>
      </c>
      <c r="E136" s="464">
        <f>E135/12</f>
        <v>31494.75</v>
      </c>
      <c r="F136" s="449">
        <f>ROUND(F135/12,2)</f>
        <v>33689.42</v>
      </c>
      <c r="G136" s="460">
        <f>G135/12</f>
        <v>31494.75</v>
      </c>
      <c r="H136" s="467">
        <f>ROUND(H135/12,2)</f>
        <v>33689.42</v>
      </c>
      <c r="I136" s="464">
        <f>I135/12</f>
        <v>31494.75</v>
      </c>
      <c r="J136" s="449">
        <f>ROUND(J135/12,2)</f>
        <v>33689.42</v>
      </c>
      <c r="K136" s="460">
        <f>K135/12</f>
        <v>31494.75</v>
      </c>
      <c r="L136" s="467">
        <f>ROUND(L135/12,2)</f>
        <v>33689.42</v>
      </c>
      <c r="M136" s="472"/>
      <c r="N136" s="450"/>
      <c r="O136" s="452">
        <f>ROUND(O135/12,2)</f>
        <v>33689.43</v>
      </c>
    </row>
    <row r="137" spans="1:15" ht="16" thickBot="1" x14ac:dyDescent="0.25">
      <c r="A137" s="1932"/>
      <c r="B137" s="458" t="s">
        <v>240</v>
      </c>
      <c r="C137" s="218">
        <f>C135/12</f>
        <v>31494.75</v>
      </c>
      <c r="D137" s="219">
        <f>ROUND(D136/160.33,2)</f>
        <v>210.13</v>
      </c>
      <c r="E137" s="465"/>
      <c r="F137" s="219">
        <f t="shared" ref="F137:O137" si="44">ROUND(F136/160.33,2)</f>
        <v>210.13</v>
      </c>
      <c r="G137" s="219">
        <f t="shared" si="44"/>
        <v>196.44</v>
      </c>
      <c r="H137" s="219">
        <f t="shared" si="44"/>
        <v>210.13</v>
      </c>
      <c r="I137" s="219">
        <f t="shared" si="44"/>
        <v>196.44</v>
      </c>
      <c r="J137" s="219">
        <f t="shared" si="44"/>
        <v>210.13</v>
      </c>
      <c r="K137" s="219">
        <f t="shared" si="44"/>
        <v>196.44</v>
      </c>
      <c r="L137" s="219">
        <f t="shared" si="44"/>
        <v>210.13</v>
      </c>
      <c r="M137" s="219">
        <f t="shared" si="44"/>
        <v>0</v>
      </c>
      <c r="N137" s="219">
        <f t="shared" si="44"/>
        <v>0</v>
      </c>
      <c r="O137" s="219">
        <f t="shared" si="44"/>
        <v>210.13</v>
      </c>
    </row>
    <row r="138" spans="1:15" x14ac:dyDescent="0.2">
      <c r="A138" s="1933">
        <v>45</v>
      </c>
      <c r="B138" s="225" t="s">
        <v>98</v>
      </c>
      <c r="C138" s="221">
        <v>386414</v>
      </c>
      <c r="D138" s="214">
        <f>ROUND((C138*(1+'Løntabel gældende fra'!$D$7%)),0)</f>
        <v>413340</v>
      </c>
      <c r="E138" s="222">
        <v>386414</v>
      </c>
      <c r="F138" s="223">
        <f>ROUND((E138*(1+'Løntabel gældende fra'!$D$7%)),0)</f>
        <v>413340</v>
      </c>
      <c r="G138" s="221">
        <v>386414</v>
      </c>
      <c r="H138" s="214">
        <f>ROUND((G138*(1+'Løntabel gældende fra'!$D$7%)),0)</f>
        <v>413340</v>
      </c>
      <c r="I138" s="222">
        <v>386414</v>
      </c>
      <c r="J138" s="223">
        <f>ROUND((I138*(1+'Løntabel gældende fra'!$D$7%)),0)</f>
        <v>413340</v>
      </c>
      <c r="K138" s="221">
        <v>386414</v>
      </c>
      <c r="L138" s="214">
        <f>ROUND((K138*(1+'Løntabel gældende fra'!$D$7%)),0)</f>
        <v>413340</v>
      </c>
      <c r="M138" s="473"/>
      <c r="N138" s="451">
        <v>386414.29</v>
      </c>
      <c r="O138" s="228">
        <f>ROUND(N138*(1+'Løntabel gældende fra'!$D$7%),2)</f>
        <v>413340.8</v>
      </c>
    </row>
    <row r="139" spans="1:15" x14ac:dyDescent="0.2">
      <c r="A139" s="1931"/>
      <c r="B139" s="457" t="s">
        <v>247</v>
      </c>
      <c r="C139" s="460"/>
      <c r="D139" s="467">
        <f>ROUND(D138/12,2)</f>
        <v>34445</v>
      </c>
      <c r="E139" s="464">
        <f>E138/12</f>
        <v>32201.166666666668</v>
      </c>
      <c r="F139" s="449">
        <f>ROUND(F138/12,2)</f>
        <v>34445</v>
      </c>
      <c r="G139" s="460">
        <f>G138/12</f>
        <v>32201.166666666668</v>
      </c>
      <c r="H139" s="467">
        <f>ROUND(H138/12,2)</f>
        <v>34445</v>
      </c>
      <c r="I139" s="464">
        <f>I138/12</f>
        <v>32201.166666666668</v>
      </c>
      <c r="J139" s="449">
        <f>ROUND(J138/12,2)</f>
        <v>34445</v>
      </c>
      <c r="K139" s="460">
        <f>K138/12</f>
        <v>32201.166666666668</v>
      </c>
      <c r="L139" s="467">
        <f>ROUND(L138/12,2)</f>
        <v>34445</v>
      </c>
      <c r="M139" s="472"/>
      <c r="N139" s="450"/>
      <c r="O139" s="452">
        <f>ROUND(O138/12,2)</f>
        <v>34445.07</v>
      </c>
    </row>
    <row r="140" spans="1:15" ht="16" thickBot="1" x14ac:dyDescent="0.25">
      <c r="A140" s="1932"/>
      <c r="B140" s="458" t="s">
        <v>240</v>
      </c>
      <c r="C140" s="218">
        <f>C138/12</f>
        <v>32201.166666666668</v>
      </c>
      <c r="D140" s="219">
        <f>ROUND(D139/160.33,2)</f>
        <v>214.84</v>
      </c>
      <c r="E140" s="465"/>
      <c r="F140" s="219">
        <f t="shared" ref="F140:O140" si="45">ROUND(F139/160.33,2)</f>
        <v>214.84</v>
      </c>
      <c r="G140" s="219">
        <f t="shared" si="45"/>
        <v>200.84</v>
      </c>
      <c r="H140" s="219">
        <f t="shared" si="45"/>
        <v>214.84</v>
      </c>
      <c r="I140" s="219">
        <f t="shared" si="45"/>
        <v>200.84</v>
      </c>
      <c r="J140" s="219">
        <f t="shared" si="45"/>
        <v>214.84</v>
      </c>
      <c r="K140" s="219">
        <f t="shared" si="45"/>
        <v>200.84</v>
      </c>
      <c r="L140" s="219">
        <f t="shared" si="45"/>
        <v>214.84</v>
      </c>
      <c r="M140" s="219">
        <f t="shared" si="45"/>
        <v>0</v>
      </c>
      <c r="N140" s="219">
        <f t="shared" si="45"/>
        <v>0</v>
      </c>
      <c r="O140" s="219">
        <f t="shared" si="45"/>
        <v>214.84</v>
      </c>
    </row>
    <row r="141" spans="1:15" x14ac:dyDescent="0.2">
      <c r="A141" s="1933">
        <v>46</v>
      </c>
      <c r="B141" s="225" t="s">
        <v>98</v>
      </c>
      <c r="C141" s="221">
        <v>395125</v>
      </c>
      <c r="D141" s="214">
        <f>ROUND((C141*(1+'Løntabel gældende fra'!$D$7%)),0)</f>
        <v>422658</v>
      </c>
      <c r="E141" s="222">
        <v>395125</v>
      </c>
      <c r="F141" s="223">
        <f>ROUND((E141*(1+'Løntabel gældende fra'!$D$7%)),0)</f>
        <v>422658</v>
      </c>
      <c r="G141" s="221">
        <v>395125</v>
      </c>
      <c r="H141" s="214">
        <f>ROUND((G141*(1+'Løntabel gældende fra'!$D$7%)),0)</f>
        <v>422658</v>
      </c>
      <c r="I141" s="222">
        <v>395125</v>
      </c>
      <c r="J141" s="223">
        <f>ROUND((I141*(1+'Løntabel gældende fra'!$D$7%)),0)</f>
        <v>422658</v>
      </c>
      <c r="K141" s="221">
        <v>395125</v>
      </c>
      <c r="L141" s="214">
        <f>ROUND((K141*(1+'Løntabel gældende fra'!$D$7%)),0)</f>
        <v>422658</v>
      </c>
      <c r="M141" s="473"/>
      <c r="N141" s="451">
        <v>395124.74</v>
      </c>
      <c r="O141" s="228">
        <f>ROUND(N141*(1+'Løntabel gældende fra'!$D$7%),2)</f>
        <v>422658.22</v>
      </c>
    </row>
    <row r="142" spans="1:15" x14ac:dyDescent="0.2">
      <c r="A142" s="1931"/>
      <c r="B142" s="457" t="s">
        <v>99</v>
      </c>
      <c r="C142" s="460"/>
      <c r="D142" s="467">
        <f>ROUND(D141/12,2)</f>
        <v>35221.5</v>
      </c>
      <c r="E142" s="464">
        <f>E141/12</f>
        <v>32927.083333333336</v>
      </c>
      <c r="F142" s="449">
        <f>ROUND(F141/12,2)</f>
        <v>35221.5</v>
      </c>
      <c r="G142" s="460">
        <f>G141/12</f>
        <v>32927.083333333336</v>
      </c>
      <c r="H142" s="467">
        <f>ROUND(H141/12,2)</f>
        <v>35221.5</v>
      </c>
      <c r="I142" s="464">
        <f>I141/12</f>
        <v>32927.083333333336</v>
      </c>
      <c r="J142" s="449">
        <f>ROUND(J141/12,2)</f>
        <v>35221.5</v>
      </c>
      <c r="K142" s="460">
        <f>K141/12</f>
        <v>32927.083333333336</v>
      </c>
      <c r="L142" s="467">
        <f>ROUND(L141/12,2)</f>
        <v>35221.5</v>
      </c>
      <c r="M142" s="472"/>
      <c r="N142" s="450"/>
      <c r="O142" s="452">
        <f>ROUND(O141/12,2)</f>
        <v>35221.519999999997</v>
      </c>
    </row>
    <row r="143" spans="1:15" ht="16" thickBot="1" x14ac:dyDescent="0.25">
      <c r="A143" s="1932"/>
      <c r="B143" s="458" t="s">
        <v>240</v>
      </c>
      <c r="C143" s="218">
        <f>C141/12</f>
        <v>32927.083333333336</v>
      </c>
      <c r="D143" s="219">
        <f>ROUND(D142/160.33,2)</f>
        <v>219.68</v>
      </c>
      <c r="E143" s="465"/>
      <c r="F143" s="219">
        <f t="shared" ref="F143:O143" si="46">ROUND(F142/160.33,2)</f>
        <v>219.68</v>
      </c>
      <c r="G143" s="219">
        <f t="shared" si="46"/>
        <v>205.37</v>
      </c>
      <c r="H143" s="219">
        <f t="shared" si="46"/>
        <v>219.68</v>
      </c>
      <c r="I143" s="219">
        <f t="shared" si="46"/>
        <v>205.37</v>
      </c>
      <c r="J143" s="219">
        <f t="shared" si="46"/>
        <v>219.68</v>
      </c>
      <c r="K143" s="219">
        <f t="shared" si="46"/>
        <v>205.37</v>
      </c>
      <c r="L143" s="219">
        <f t="shared" si="46"/>
        <v>219.68</v>
      </c>
      <c r="M143" s="219">
        <f t="shared" si="46"/>
        <v>0</v>
      </c>
      <c r="N143" s="219">
        <f t="shared" si="46"/>
        <v>0</v>
      </c>
      <c r="O143" s="219">
        <f t="shared" si="46"/>
        <v>219.68</v>
      </c>
    </row>
    <row r="144" spans="1:15" x14ac:dyDescent="0.2">
      <c r="A144" s="1930">
        <v>47</v>
      </c>
      <c r="B144" s="224" t="s">
        <v>98</v>
      </c>
      <c r="C144" s="213">
        <v>413269</v>
      </c>
      <c r="D144" s="217">
        <f>ROUND((C144*(1+'Løntabel gældende fra'!$D$7%)),0)</f>
        <v>442067</v>
      </c>
      <c r="E144" s="215">
        <v>413269</v>
      </c>
      <c r="F144" s="216">
        <f>ROUND((E144*(1+'Løntabel gældende fra'!$D$7%)),0)</f>
        <v>442067</v>
      </c>
      <c r="G144" s="213">
        <v>413269</v>
      </c>
      <c r="H144" s="217">
        <f>ROUND((G144*(1+'Løntabel gældende fra'!$D$7%)),0)</f>
        <v>442067</v>
      </c>
      <c r="I144" s="215">
        <v>413269</v>
      </c>
      <c r="J144" s="216">
        <f>ROUND((I144*(1+'Løntabel gældende fra'!$D$7%)),0)</f>
        <v>442067</v>
      </c>
      <c r="K144" s="213">
        <v>413269</v>
      </c>
      <c r="L144" s="217">
        <f>ROUND((K144*(1+'Løntabel gældende fra'!$D$7%)),0)</f>
        <v>442067</v>
      </c>
      <c r="M144" s="474"/>
      <c r="N144" s="453">
        <v>413268.87</v>
      </c>
      <c r="O144" s="454">
        <f>ROUND(N144*(1+'Løntabel gældende fra'!$D$7%),2)</f>
        <v>442066.68</v>
      </c>
    </row>
    <row r="145" spans="1:15" x14ac:dyDescent="0.2">
      <c r="A145" s="1931"/>
      <c r="B145" s="457" t="s">
        <v>247</v>
      </c>
      <c r="C145" s="460"/>
      <c r="D145" s="467">
        <f>ROUND(D144/12,2)</f>
        <v>36838.92</v>
      </c>
      <c r="E145" s="464">
        <f>E144/12</f>
        <v>34439.083333333336</v>
      </c>
      <c r="F145" s="449">
        <f>ROUND(F144/12,2)</f>
        <v>36838.92</v>
      </c>
      <c r="G145" s="460">
        <f>G144/12</f>
        <v>34439.083333333336</v>
      </c>
      <c r="H145" s="467">
        <f>ROUND(H144/12,2)</f>
        <v>36838.92</v>
      </c>
      <c r="I145" s="464">
        <f>I144/12</f>
        <v>34439.083333333336</v>
      </c>
      <c r="J145" s="449">
        <f>ROUND(J144/12,2)</f>
        <v>36838.92</v>
      </c>
      <c r="K145" s="460">
        <f>K144/12</f>
        <v>34439.083333333336</v>
      </c>
      <c r="L145" s="467">
        <f>ROUND(L144/12,2)</f>
        <v>36838.92</v>
      </c>
      <c r="M145" s="472"/>
      <c r="N145" s="450"/>
      <c r="O145" s="452">
        <f>ROUND(O144/12,2)</f>
        <v>36838.89</v>
      </c>
    </row>
    <row r="146" spans="1:15" ht="16" thickBot="1" x14ac:dyDescent="0.25">
      <c r="A146" s="1934"/>
      <c r="B146" s="459" t="s">
        <v>240</v>
      </c>
      <c r="C146" s="463">
        <f>C144/12</f>
        <v>34439.083333333336</v>
      </c>
      <c r="D146" s="219">
        <f>ROUND(D145/160.33,2)</f>
        <v>229.77</v>
      </c>
      <c r="E146" s="466"/>
      <c r="F146" s="219">
        <f t="shared" ref="F146:O146" si="47">ROUND(F145/160.33,2)</f>
        <v>229.77</v>
      </c>
      <c r="G146" s="219">
        <f t="shared" si="47"/>
        <v>214.8</v>
      </c>
      <c r="H146" s="219">
        <f t="shared" si="47"/>
        <v>229.77</v>
      </c>
      <c r="I146" s="219">
        <f t="shared" si="47"/>
        <v>214.8</v>
      </c>
      <c r="J146" s="219">
        <f t="shared" si="47"/>
        <v>229.77</v>
      </c>
      <c r="K146" s="219">
        <f t="shared" si="47"/>
        <v>214.8</v>
      </c>
      <c r="L146" s="219">
        <f t="shared" si="47"/>
        <v>229.77</v>
      </c>
      <c r="M146" s="219">
        <f t="shared" si="47"/>
        <v>0</v>
      </c>
      <c r="N146" s="219">
        <f t="shared" si="47"/>
        <v>0</v>
      </c>
      <c r="O146" s="219">
        <f t="shared" si="47"/>
        <v>229.77</v>
      </c>
    </row>
    <row r="147" spans="1:15" x14ac:dyDescent="0.2">
      <c r="A147" s="1933">
        <v>48</v>
      </c>
      <c r="B147" s="225" t="s">
        <v>98</v>
      </c>
      <c r="C147" s="221">
        <v>441027</v>
      </c>
      <c r="D147" s="214">
        <f>ROUND((C147*(1+'Løntabel gældende fra'!$D$7%)),0)</f>
        <v>471759</v>
      </c>
      <c r="E147" s="222">
        <v>441027</v>
      </c>
      <c r="F147" s="223">
        <f>ROUND((E147*(1+'Løntabel gældende fra'!$D$7%)),0)</f>
        <v>471759</v>
      </c>
      <c r="G147" s="221">
        <v>441027</v>
      </c>
      <c r="H147" s="214">
        <f>ROUND((G147*(1+'Løntabel gældende fra'!$D$7%)),0)</f>
        <v>471759</v>
      </c>
      <c r="I147" s="222">
        <v>441027</v>
      </c>
      <c r="J147" s="223">
        <f>ROUND((I147*(1+'Løntabel gældende fra'!$D$7%)),0)</f>
        <v>471759</v>
      </c>
      <c r="K147" s="221">
        <v>441027</v>
      </c>
      <c r="L147" s="214">
        <f>ROUND((K147*(1+'Løntabel gældende fra'!$D$7%)),0)</f>
        <v>471759</v>
      </c>
      <c r="M147" s="473"/>
      <c r="N147" s="451">
        <v>441025.75</v>
      </c>
      <c r="O147" s="228">
        <f>ROUND(N147*(1+'Løntabel gældende fra'!$D$7%),2)</f>
        <v>471757.75</v>
      </c>
    </row>
    <row r="148" spans="1:15" x14ac:dyDescent="0.2">
      <c r="A148" s="1931"/>
      <c r="B148" s="457" t="s">
        <v>247</v>
      </c>
      <c r="C148" s="460"/>
      <c r="D148" s="467">
        <f>ROUND(D147/12,2)</f>
        <v>39313.25</v>
      </c>
      <c r="E148" s="464">
        <f>E147/12</f>
        <v>36752.25</v>
      </c>
      <c r="F148" s="449">
        <f>ROUND(F147/12,2)</f>
        <v>39313.25</v>
      </c>
      <c r="G148" s="460">
        <f>G147/12</f>
        <v>36752.25</v>
      </c>
      <c r="H148" s="467">
        <f>ROUND(H147/12,2)</f>
        <v>39313.25</v>
      </c>
      <c r="I148" s="464">
        <f>I147/12</f>
        <v>36752.25</v>
      </c>
      <c r="J148" s="449">
        <f>ROUND(J147/12,2)</f>
        <v>39313.25</v>
      </c>
      <c r="K148" s="460">
        <f>K147/12</f>
        <v>36752.25</v>
      </c>
      <c r="L148" s="467">
        <f>ROUND(L147/12,2)</f>
        <v>39313.25</v>
      </c>
      <c r="M148" s="472"/>
      <c r="N148" s="450"/>
      <c r="O148" s="452">
        <f>ROUND(O147/12,2)</f>
        <v>39313.15</v>
      </c>
    </row>
    <row r="149" spans="1:15" ht="16" thickBot="1" x14ac:dyDescent="0.25">
      <c r="A149" s="1932"/>
      <c r="B149" s="458" t="s">
        <v>240</v>
      </c>
      <c r="C149" s="218">
        <f>C147/12</f>
        <v>36752.25</v>
      </c>
      <c r="D149" s="219">
        <f>ROUND(D148/160.33,2)</f>
        <v>245.2</v>
      </c>
      <c r="E149" s="465"/>
      <c r="F149" s="219">
        <f t="shared" ref="F149:O149" si="48">ROUND(F148/160.33,2)</f>
        <v>245.2</v>
      </c>
      <c r="G149" s="219">
        <f t="shared" si="48"/>
        <v>229.23</v>
      </c>
      <c r="H149" s="219">
        <f t="shared" si="48"/>
        <v>245.2</v>
      </c>
      <c r="I149" s="219">
        <f t="shared" si="48"/>
        <v>229.23</v>
      </c>
      <c r="J149" s="219">
        <f t="shared" si="48"/>
        <v>245.2</v>
      </c>
      <c r="K149" s="219">
        <f t="shared" si="48"/>
        <v>229.23</v>
      </c>
      <c r="L149" s="219">
        <f t="shared" si="48"/>
        <v>245.2</v>
      </c>
      <c r="M149" s="219">
        <f t="shared" si="48"/>
        <v>0</v>
      </c>
      <c r="N149" s="219">
        <f t="shared" si="48"/>
        <v>0</v>
      </c>
      <c r="O149" s="219">
        <f t="shared" si="48"/>
        <v>245.2</v>
      </c>
    </row>
    <row r="150" spans="1:15" x14ac:dyDescent="0.2">
      <c r="A150" s="1930">
        <v>49</v>
      </c>
      <c r="B150" s="224" t="s">
        <v>98</v>
      </c>
      <c r="C150" s="213">
        <v>471781</v>
      </c>
      <c r="D150" s="217">
        <f>ROUND((C150*(1+'Løntabel gældende fra'!$D$7%)),0)</f>
        <v>504656</v>
      </c>
      <c r="E150" s="215">
        <v>471781</v>
      </c>
      <c r="F150" s="216">
        <f>ROUND((E150*(1+'Løntabel gældende fra'!$D$7%)),0)</f>
        <v>504656</v>
      </c>
      <c r="G150" s="213">
        <v>471781</v>
      </c>
      <c r="H150" s="217">
        <f>ROUND((G150*(1+'Løntabel gældende fra'!$D$7%)),0)</f>
        <v>504656</v>
      </c>
      <c r="I150" s="215">
        <v>471781</v>
      </c>
      <c r="J150" s="216">
        <f>ROUND((I150*(1+'Løntabel gældende fra'!$D$7%)),0)</f>
        <v>504656</v>
      </c>
      <c r="K150" s="213">
        <v>471781</v>
      </c>
      <c r="L150" s="217">
        <f>ROUND((K150*(1+'Løntabel gældende fra'!$D$7%)),0)</f>
        <v>504656</v>
      </c>
      <c r="M150" s="474"/>
      <c r="N150" s="453">
        <v>471780.9</v>
      </c>
      <c r="O150" s="454">
        <f>ROUND(N150*(1+'Løntabel gældende fra'!$D$7%),2)</f>
        <v>504656.01</v>
      </c>
    </row>
    <row r="151" spans="1:15" x14ac:dyDescent="0.2">
      <c r="A151" s="1931"/>
      <c r="B151" s="457" t="s">
        <v>247</v>
      </c>
      <c r="C151" s="460"/>
      <c r="D151" s="467">
        <f>ROUND(D150/12,2)</f>
        <v>42054.67</v>
      </c>
      <c r="E151" s="464">
        <f>E150/12</f>
        <v>39315.083333333336</v>
      </c>
      <c r="F151" s="449">
        <f>ROUND(F150/12,2)</f>
        <v>42054.67</v>
      </c>
      <c r="G151" s="460">
        <f>G150/12</f>
        <v>39315.083333333336</v>
      </c>
      <c r="H151" s="467">
        <f>ROUND(H150/12,2)</f>
        <v>42054.67</v>
      </c>
      <c r="I151" s="464">
        <f>I150/12</f>
        <v>39315.083333333336</v>
      </c>
      <c r="J151" s="449">
        <f>ROUND(J150/12,2)</f>
        <v>42054.67</v>
      </c>
      <c r="K151" s="460">
        <f>K150/12</f>
        <v>39315.083333333336</v>
      </c>
      <c r="L151" s="467">
        <f>ROUND(L150/12,2)</f>
        <v>42054.67</v>
      </c>
      <c r="M151" s="472"/>
      <c r="N151" s="450"/>
      <c r="O151" s="452">
        <f>ROUND(O150/12,2)</f>
        <v>42054.67</v>
      </c>
    </row>
    <row r="152" spans="1:15" ht="16" thickBot="1" x14ac:dyDescent="0.25">
      <c r="A152" s="1934"/>
      <c r="B152" s="459" t="s">
        <v>240</v>
      </c>
      <c r="C152" s="463">
        <f>C150/12</f>
        <v>39315.083333333336</v>
      </c>
      <c r="D152" s="219">
        <f>ROUND(D151/160.33,2)</f>
        <v>262.3</v>
      </c>
      <c r="E152" s="466"/>
      <c r="F152" s="219">
        <f t="shared" ref="F152:O152" si="49">ROUND(F151/160.33,2)</f>
        <v>262.3</v>
      </c>
      <c r="G152" s="219">
        <f t="shared" si="49"/>
        <v>245.21</v>
      </c>
      <c r="H152" s="219">
        <f t="shared" si="49"/>
        <v>262.3</v>
      </c>
      <c r="I152" s="219">
        <f t="shared" si="49"/>
        <v>245.21</v>
      </c>
      <c r="J152" s="219">
        <f t="shared" si="49"/>
        <v>262.3</v>
      </c>
      <c r="K152" s="219">
        <f t="shared" si="49"/>
        <v>245.21</v>
      </c>
      <c r="L152" s="219">
        <f t="shared" si="49"/>
        <v>262.3</v>
      </c>
      <c r="M152" s="219">
        <f t="shared" si="49"/>
        <v>0</v>
      </c>
      <c r="N152" s="219">
        <f t="shared" si="49"/>
        <v>0</v>
      </c>
      <c r="O152" s="219">
        <f t="shared" si="49"/>
        <v>262.3</v>
      </c>
    </row>
    <row r="153" spans="1:15" x14ac:dyDescent="0.2">
      <c r="A153" s="1933">
        <v>50</v>
      </c>
      <c r="B153" s="225" t="s">
        <v>98</v>
      </c>
      <c r="C153" s="221">
        <v>521094</v>
      </c>
      <c r="D153" s="214">
        <f>ROUND((C153*(1+'Løntabel gældende fra'!$D$7%)),0)</f>
        <v>557405</v>
      </c>
      <c r="E153" s="222">
        <v>521094</v>
      </c>
      <c r="F153" s="223">
        <f>ROUND((E153*(1+'Løntabel gældende fra'!$D$7%)),0)</f>
        <v>557405</v>
      </c>
      <c r="G153" s="469">
        <v>521094</v>
      </c>
      <c r="H153" s="214">
        <f>ROUND((G153*(1+'Løntabel gældende fra'!$D$7%)),0)</f>
        <v>557405</v>
      </c>
      <c r="I153" s="470">
        <v>521094</v>
      </c>
      <c r="J153" s="223">
        <f>ROUND((I153*(1+'Løntabel gældende fra'!$D$7%)),0)</f>
        <v>557405</v>
      </c>
      <c r="K153" s="469">
        <v>521094</v>
      </c>
      <c r="L153" s="214">
        <f>ROUND((K153*(1+'Løntabel gældende fra'!$D$7%)),0)</f>
        <v>557405</v>
      </c>
      <c r="M153" s="473"/>
      <c r="N153" s="451">
        <v>521094.47</v>
      </c>
      <c r="O153" s="228">
        <f>ROUND(N153*(1+'Løntabel gældende fra'!$D$7%),2)</f>
        <v>557405.9</v>
      </c>
    </row>
    <row r="154" spans="1:15" x14ac:dyDescent="0.2">
      <c r="A154" s="1931"/>
      <c r="B154" s="457" t="s">
        <v>247</v>
      </c>
      <c r="C154" s="460"/>
      <c r="D154" s="467">
        <f>ROUND(D153/12,2)</f>
        <v>46450.42</v>
      </c>
      <c r="E154" s="464">
        <f>E153/12</f>
        <v>43424.5</v>
      </c>
      <c r="F154" s="449">
        <f>ROUND(F153/12,2)</f>
        <v>46450.42</v>
      </c>
      <c r="G154" s="460">
        <f>G153/12</f>
        <v>43424.5</v>
      </c>
      <c r="H154" s="467">
        <f>ROUND(H153/12,2)</f>
        <v>46450.42</v>
      </c>
      <c r="I154" s="464">
        <f>I153/12</f>
        <v>43424.5</v>
      </c>
      <c r="J154" s="449">
        <f>ROUND(J153/12,2)</f>
        <v>46450.42</v>
      </c>
      <c r="K154" s="460">
        <f>K153/12</f>
        <v>43424.5</v>
      </c>
      <c r="L154" s="467">
        <f>ROUND(L153/12,2)</f>
        <v>46450.42</v>
      </c>
      <c r="M154" s="472"/>
      <c r="N154" s="450"/>
      <c r="O154" s="452">
        <f>ROUND(O153/12,2)</f>
        <v>46450.49</v>
      </c>
    </row>
    <row r="155" spans="1:15" ht="16" thickBot="1" x14ac:dyDescent="0.25">
      <c r="A155" s="1932"/>
      <c r="B155" s="458" t="s">
        <v>240</v>
      </c>
      <c r="C155" s="218">
        <f>C153/12</f>
        <v>43424.5</v>
      </c>
      <c r="D155" s="219">
        <f>ROUND(D154/160.33,2)</f>
        <v>289.72000000000003</v>
      </c>
      <c r="E155" s="465"/>
      <c r="F155" s="219">
        <f t="shared" ref="F155:O155" si="50">ROUND(F154/160.33,2)</f>
        <v>289.72000000000003</v>
      </c>
      <c r="G155" s="219">
        <f t="shared" si="50"/>
        <v>270.83999999999997</v>
      </c>
      <c r="H155" s="219">
        <f t="shared" si="50"/>
        <v>289.72000000000003</v>
      </c>
      <c r="I155" s="219">
        <f t="shared" si="50"/>
        <v>270.83999999999997</v>
      </c>
      <c r="J155" s="219">
        <f t="shared" si="50"/>
        <v>289.72000000000003</v>
      </c>
      <c r="K155" s="219">
        <f t="shared" si="50"/>
        <v>270.83999999999997</v>
      </c>
      <c r="L155" s="219">
        <f t="shared" si="50"/>
        <v>289.72000000000003</v>
      </c>
      <c r="M155" s="219">
        <f t="shared" si="50"/>
        <v>0</v>
      </c>
      <c r="N155" s="219">
        <f t="shared" si="50"/>
        <v>0</v>
      </c>
      <c r="O155" s="219">
        <f t="shared" si="50"/>
        <v>289.72000000000003</v>
      </c>
    </row>
    <row r="156" spans="1:15" x14ac:dyDescent="0.2">
      <c r="A156" s="1930">
        <v>51</v>
      </c>
      <c r="B156" s="224" t="s">
        <v>98</v>
      </c>
      <c r="C156" s="213">
        <v>592911</v>
      </c>
      <c r="D156" s="217">
        <f>ROUND((C156*(1+'Løntabel gældende fra'!$D$7%)),0)</f>
        <v>634227</v>
      </c>
      <c r="E156" s="215">
        <v>592911</v>
      </c>
      <c r="F156" s="216">
        <f>ROUND((E156*(1+'Løntabel gældende fra'!$D$7%)),0)</f>
        <v>634227</v>
      </c>
      <c r="G156" s="226">
        <v>592911</v>
      </c>
      <c r="H156" s="217">
        <f>ROUND((G156*(1+'Løntabel gældende fra'!$D$7%)),0)</f>
        <v>634227</v>
      </c>
      <c r="I156" s="227">
        <v>592911</v>
      </c>
      <c r="J156" s="216">
        <f>ROUND((I156*(1+'Løntabel gældende fra'!$D$7%)),0)</f>
        <v>634227</v>
      </c>
      <c r="K156" s="226">
        <v>592911</v>
      </c>
      <c r="L156" s="217">
        <f>ROUND((K156*(1+'Løntabel gældende fra'!$D$7%)),0)</f>
        <v>634227</v>
      </c>
      <c r="M156" s="474"/>
      <c r="N156" s="453">
        <v>592911.94999999995</v>
      </c>
      <c r="O156" s="454">
        <f>ROUND(N156*(1+'Løntabel gældende fra'!$D$7%),2)</f>
        <v>634227.82999999996</v>
      </c>
    </row>
    <row r="157" spans="1:15" x14ac:dyDescent="0.2">
      <c r="A157" s="1931"/>
      <c r="B157" s="457" t="s">
        <v>99</v>
      </c>
      <c r="C157" s="460"/>
      <c r="D157" s="467">
        <f>ROUND(D156/12,2)</f>
        <v>52852.25</v>
      </c>
      <c r="E157" s="464">
        <f>E156/12</f>
        <v>49409.25</v>
      </c>
      <c r="F157" s="449">
        <f>ROUND(F156/12,2)</f>
        <v>52852.25</v>
      </c>
      <c r="G157" s="460">
        <f>G156/12</f>
        <v>49409.25</v>
      </c>
      <c r="H157" s="467">
        <f>ROUND(H156/12,2)</f>
        <v>52852.25</v>
      </c>
      <c r="I157" s="464">
        <f>I156/12</f>
        <v>49409.25</v>
      </c>
      <c r="J157" s="449">
        <f>ROUND(J156/12,2)</f>
        <v>52852.25</v>
      </c>
      <c r="K157" s="460">
        <f>K156/12</f>
        <v>49409.25</v>
      </c>
      <c r="L157" s="467">
        <f>ROUND(L156/12,2)</f>
        <v>52852.25</v>
      </c>
      <c r="M157" s="472"/>
      <c r="N157" s="450"/>
      <c r="O157" s="452">
        <f>ROUND(O156/12,2)</f>
        <v>52852.32</v>
      </c>
    </row>
    <row r="158" spans="1:15" ht="16" thickBot="1" x14ac:dyDescent="0.25">
      <c r="A158" s="1932"/>
      <c r="B158" s="458" t="s">
        <v>240</v>
      </c>
      <c r="C158" s="218">
        <f>C156/12</f>
        <v>49409.25</v>
      </c>
      <c r="D158" s="219">
        <f>ROUND(D157/160.33,2)</f>
        <v>329.65</v>
      </c>
      <c r="E158" s="465"/>
      <c r="F158" s="219">
        <f t="shared" ref="F158:O158" si="51">ROUND(F157/160.33,2)</f>
        <v>329.65</v>
      </c>
      <c r="G158" s="219">
        <f t="shared" si="51"/>
        <v>308.17</v>
      </c>
      <c r="H158" s="219">
        <f t="shared" si="51"/>
        <v>329.65</v>
      </c>
      <c r="I158" s="219">
        <f t="shared" si="51"/>
        <v>308.17</v>
      </c>
      <c r="J158" s="219">
        <f t="shared" si="51"/>
        <v>329.65</v>
      </c>
      <c r="K158" s="219">
        <f t="shared" si="51"/>
        <v>308.17</v>
      </c>
      <c r="L158" s="219">
        <f t="shared" si="51"/>
        <v>329.65</v>
      </c>
      <c r="M158" s="219">
        <f t="shared" si="51"/>
        <v>0</v>
      </c>
      <c r="N158" s="219">
        <f t="shared" si="51"/>
        <v>0</v>
      </c>
      <c r="O158" s="219">
        <f t="shared" si="51"/>
        <v>329.65</v>
      </c>
    </row>
  </sheetData>
  <sheetProtection sheet="1" objects="1" scenarios="1"/>
  <mergeCells count="54"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  <mergeCell ref="A114:A116"/>
    <mergeCell ref="A117:A119"/>
    <mergeCell ref="A120:A122"/>
    <mergeCell ref="A123:A125"/>
    <mergeCell ref="A126:A128"/>
    <mergeCell ref="A99:A101"/>
    <mergeCell ref="A102:A104"/>
    <mergeCell ref="A105:A107"/>
    <mergeCell ref="A108:A110"/>
    <mergeCell ref="A111:A113"/>
    <mergeCell ref="A84:A86"/>
    <mergeCell ref="A87:A89"/>
    <mergeCell ref="A90:A92"/>
    <mergeCell ref="A93:A95"/>
    <mergeCell ref="A96:A98"/>
    <mergeCell ref="A1:O1"/>
    <mergeCell ref="A2:O2"/>
    <mergeCell ref="A75:A77"/>
    <mergeCell ref="A78:A80"/>
    <mergeCell ref="A6:A8"/>
    <mergeCell ref="A3:O4"/>
    <mergeCell ref="A21:A23"/>
    <mergeCell ref="A24:A26"/>
    <mergeCell ref="A27:A29"/>
    <mergeCell ref="A9:A11"/>
    <mergeCell ref="A12:A14"/>
    <mergeCell ref="A15:A17"/>
    <mergeCell ref="A18:A20"/>
    <mergeCell ref="A72:A74"/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81:A83"/>
  </mergeCells>
  <phoneticPr fontId="6" type="noConversion"/>
  <pageMargins left="0.47244094488188981" right="0.47244094488188981" top="0.74803149606299213" bottom="0.74803149606299213" header="0.31496062992125984" footer="0.31496062992125984"/>
  <pageSetup paperSize="9" scale="85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25" zoomScaleNormal="125" zoomScalePageLayoutView="125" workbookViewId="0">
      <selection activeCell="D1" sqref="D1"/>
    </sheetView>
  </sheetViews>
  <sheetFormatPr baseColWidth="10" defaultColWidth="11.33203125" defaultRowHeight="15" x14ac:dyDescent="0.2"/>
  <cols>
    <col min="2" max="2" width="11.1640625" customWidth="1"/>
    <col min="3" max="3" width="15.33203125" customWidth="1"/>
    <col min="4" max="4" width="11.33203125" customWidth="1"/>
    <col min="6" max="6" width="20" customWidth="1"/>
    <col min="7" max="7" width="16.33203125" customWidth="1"/>
    <col min="8" max="8" width="8.1640625" customWidth="1"/>
  </cols>
  <sheetData>
    <row r="1" spans="1:9" x14ac:dyDescent="0.2">
      <c r="A1" t="s">
        <v>32</v>
      </c>
      <c r="C1" s="5"/>
      <c r="D1" s="804" t="s">
        <v>513</v>
      </c>
    </row>
    <row r="3" spans="1:9" ht="20" x14ac:dyDescent="0.2">
      <c r="A3" s="19" t="s">
        <v>26</v>
      </c>
      <c r="B3" s="20"/>
      <c r="C3" s="20"/>
      <c r="D3" s="20"/>
      <c r="E3" s="20"/>
      <c r="F3" s="20"/>
      <c r="G3" s="20"/>
    </row>
    <row r="4" spans="1:9" x14ac:dyDescent="0.2">
      <c r="A4" s="20"/>
      <c r="B4" s="20"/>
      <c r="C4" s="20"/>
      <c r="D4" s="20"/>
      <c r="E4" s="20"/>
      <c r="F4" s="20"/>
      <c r="G4" s="20"/>
      <c r="H4" s="2"/>
      <c r="I4" s="2"/>
    </row>
    <row r="5" spans="1:9" ht="18" x14ac:dyDescent="0.2">
      <c r="A5" s="17" t="s">
        <v>27</v>
      </c>
      <c r="B5" s="20"/>
      <c r="C5" s="20"/>
      <c r="D5" s="20"/>
      <c r="E5" s="20"/>
      <c r="F5" s="20"/>
      <c r="G5" s="20"/>
      <c r="H5" s="2"/>
      <c r="I5" s="2"/>
    </row>
    <row r="6" spans="1:9" x14ac:dyDescent="0.2">
      <c r="A6" s="20"/>
      <c r="B6" s="20"/>
      <c r="C6" s="20"/>
      <c r="D6" s="20"/>
      <c r="E6" s="20"/>
      <c r="F6" s="20"/>
      <c r="G6" s="20"/>
      <c r="H6" s="2"/>
      <c r="I6" s="2"/>
    </row>
    <row r="7" spans="1:9" ht="16" x14ac:dyDescent="0.2">
      <c r="A7" s="1947" t="s">
        <v>30</v>
      </c>
      <c r="B7" s="1947"/>
      <c r="C7" s="789">
        <v>43070</v>
      </c>
      <c r="D7" s="30">
        <v>6.9683000000000002</v>
      </c>
      <c r="E7" s="29" t="s">
        <v>34</v>
      </c>
      <c r="F7" s="29"/>
      <c r="G7" s="158" t="s">
        <v>502</v>
      </c>
      <c r="H7" s="2"/>
      <c r="I7" s="2"/>
    </row>
    <row r="8" spans="1:9" x14ac:dyDescent="0.2">
      <c r="A8" s="20"/>
      <c r="B8" s="20"/>
      <c r="C8" s="20"/>
      <c r="D8" s="20"/>
      <c r="E8" s="20"/>
      <c r="F8" s="20"/>
      <c r="G8" s="20"/>
      <c r="H8" s="2"/>
      <c r="I8" s="2"/>
    </row>
    <row r="9" spans="1:9" ht="16" thickBot="1" x14ac:dyDescent="0.25">
      <c r="A9" s="21" t="s">
        <v>31</v>
      </c>
      <c r="B9" s="20"/>
      <c r="C9" s="20"/>
      <c r="D9" s="20"/>
      <c r="E9" s="20"/>
      <c r="F9" s="20"/>
      <c r="G9" s="20"/>
      <c r="H9" s="2"/>
      <c r="I9" s="2"/>
    </row>
    <row r="10" spans="1:9" x14ac:dyDescent="0.2">
      <c r="A10" s="22" t="s">
        <v>28</v>
      </c>
      <c r="B10" s="23" t="s">
        <v>29</v>
      </c>
      <c r="C10" s="1949" t="s">
        <v>33</v>
      </c>
      <c r="D10" s="1948"/>
      <c r="E10" s="1948"/>
      <c r="F10" s="1948"/>
      <c r="G10" s="1948"/>
      <c r="H10" s="2"/>
      <c r="I10" s="2"/>
    </row>
    <row r="11" spans="1:9" x14ac:dyDescent="0.2">
      <c r="A11" s="239">
        <v>40999</v>
      </c>
      <c r="B11" s="31">
        <v>1</v>
      </c>
      <c r="C11" s="1949"/>
      <c r="D11" s="1948"/>
      <c r="E11" s="1948"/>
      <c r="F11" s="1948"/>
      <c r="G11" s="1948"/>
      <c r="H11" s="2"/>
      <c r="I11" s="2"/>
    </row>
    <row r="12" spans="1:9" x14ac:dyDescent="0.2">
      <c r="A12" s="101">
        <v>41000</v>
      </c>
      <c r="B12" s="31">
        <v>1.304</v>
      </c>
      <c r="C12" s="20"/>
      <c r="D12" s="20"/>
      <c r="E12" s="20"/>
      <c r="F12" s="20"/>
      <c r="G12" s="20"/>
      <c r="H12" s="2"/>
      <c r="I12" s="2"/>
    </row>
    <row r="13" spans="1:9" x14ac:dyDescent="0.2">
      <c r="A13" s="101">
        <v>41365</v>
      </c>
      <c r="B13" s="31">
        <v>1.304</v>
      </c>
      <c r="C13" s="20"/>
      <c r="D13" s="20"/>
      <c r="E13" s="24"/>
      <c r="F13" s="20"/>
      <c r="G13" s="20"/>
      <c r="H13" s="2"/>
      <c r="I13" s="2"/>
    </row>
    <row r="14" spans="1:9" x14ac:dyDescent="0.2">
      <c r="A14" s="240">
        <v>41730</v>
      </c>
      <c r="B14" s="18">
        <v>1.7161999999999999</v>
      </c>
      <c r="C14" s="20"/>
      <c r="D14" s="20"/>
      <c r="E14" s="20"/>
      <c r="F14" s="20"/>
      <c r="G14" s="20"/>
      <c r="H14" s="2"/>
      <c r="I14" s="2"/>
    </row>
    <row r="15" spans="1:9" x14ac:dyDescent="0.2">
      <c r="A15" s="240">
        <v>42095</v>
      </c>
      <c r="B15" s="18">
        <v>2.1745000000000001</v>
      </c>
      <c r="C15" s="20"/>
      <c r="D15" s="20"/>
      <c r="E15" s="20"/>
      <c r="F15" s="20"/>
      <c r="G15" s="20"/>
      <c r="H15" s="2"/>
      <c r="I15" s="2"/>
    </row>
    <row r="16" spans="1:9" x14ac:dyDescent="0.2">
      <c r="A16" s="240">
        <v>42461</v>
      </c>
      <c r="B16" s="18">
        <v>2.9882</v>
      </c>
      <c r="C16" s="20"/>
      <c r="D16" s="20"/>
      <c r="E16" s="20"/>
      <c r="F16" s="20"/>
      <c r="G16" s="20"/>
      <c r="H16" s="2"/>
      <c r="I16" s="2"/>
    </row>
    <row r="17" spans="1:12" x14ac:dyDescent="0.2">
      <c r="A17" s="240">
        <v>42826</v>
      </c>
      <c r="B17" s="18">
        <v>4.2446000000000002</v>
      </c>
      <c r="C17" s="20"/>
      <c r="D17" s="20"/>
      <c r="E17" s="20"/>
      <c r="F17" s="20"/>
      <c r="G17" s="20"/>
      <c r="H17" s="2"/>
      <c r="I17" s="2"/>
      <c r="L17" s="13"/>
    </row>
    <row r="18" spans="1:12" x14ac:dyDescent="0.2">
      <c r="A18" s="240">
        <v>43070</v>
      </c>
      <c r="B18" s="18">
        <v>5.7702999999999998</v>
      </c>
      <c r="C18" s="20"/>
      <c r="D18" s="20"/>
      <c r="E18" s="20"/>
      <c r="F18" s="29"/>
      <c r="G18" s="20"/>
      <c r="H18" s="2"/>
      <c r="I18" s="2"/>
    </row>
    <row r="19" spans="1:12" ht="16" thickBot="1" x14ac:dyDescent="0.25">
      <c r="A19" s="1950">
        <v>43191</v>
      </c>
      <c r="B19" s="1951">
        <v>6.9683000000000002</v>
      </c>
      <c r="C19" s="20"/>
      <c r="D19" s="20"/>
      <c r="E19" s="20"/>
      <c r="F19" s="20"/>
      <c r="G19" s="20"/>
      <c r="H19" s="2"/>
      <c r="I19" s="2"/>
    </row>
  </sheetData>
  <mergeCells count="2">
    <mergeCell ref="A7:B7"/>
    <mergeCell ref="C10:G11"/>
  </mergeCells>
  <phoneticPr fontId="6" type="noConversion"/>
  <pageMargins left="0.75000000000000011" right="0.75000000000000011" top="0.98" bottom="0.98" header="0.51" footer="0.51"/>
  <pageSetup paperSize="9" scale="88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A27"/>
    </sheetView>
  </sheetViews>
  <sheetFormatPr baseColWidth="10" defaultColWidth="11.33203125" defaultRowHeight="15" x14ac:dyDescent="0.2"/>
  <cols>
    <col min="1" max="1" width="11.33203125" customWidth="1"/>
    <col min="2" max="2" width="60.1640625" customWidth="1"/>
    <col min="3" max="3" width="12.33203125" customWidth="1"/>
    <col min="4" max="4" width="12.6640625" customWidth="1"/>
    <col min="5" max="6" width="13" customWidth="1"/>
    <col min="7" max="7" width="14.83203125" customWidth="1"/>
    <col min="9" max="9" width="9.33203125" customWidth="1"/>
  </cols>
  <sheetData>
    <row r="1" spans="1:9" x14ac:dyDescent="0.2">
      <c r="A1" s="994" t="s">
        <v>305</v>
      </c>
      <c r="B1" s="1000" t="s">
        <v>296</v>
      </c>
      <c r="C1" s="1000"/>
      <c r="D1" s="1000"/>
      <c r="E1" s="1000"/>
      <c r="F1" s="1000"/>
      <c r="G1" s="1000"/>
      <c r="H1" s="1000"/>
      <c r="I1" s="1001"/>
    </row>
    <row r="2" spans="1:9" ht="16" thickBot="1" x14ac:dyDescent="0.25">
      <c r="A2" s="995"/>
      <c r="B2" s="1002"/>
      <c r="C2" s="1002"/>
      <c r="D2" s="1002"/>
      <c r="E2" s="1002"/>
      <c r="F2" s="1002"/>
      <c r="G2" s="1002"/>
      <c r="H2" s="1002"/>
      <c r="I2" s="1003"/>
    </row>
    <row r="3" spans="1:9" ht="42" customHeight="1" thickBot="1" x14ac:dyDescent="0.25">
      <c r="A3" s="995"/>
      <c r="B3" s="986" t="s">
        <v>308</v>
      </c>
      <c r="C3" s="987"/>
      <c r="D3" s="987"/>
      <c r="E3" s="987"/>
      <c r="F3" s="987"/>
      <c r="G3" s="987"/>
      <c r="H3" s="987"/>
      <c r="I3" s="988"/>
    </row>
    <row r="4" spans="1:9" ht="15" customHeight="1" x14ac:dyDescent="0.2">
      <c r="A4" s="995"/>
      <c r="B4" s="604" t="s">
        <v>294</v>
      </c>
      <c r="C4" s="638" t="s">
        <v>279</v>
      </c>
      <c r="D4" s="639" t="s">
        <v>280</v>
      </c>
      <c r="E4" s="639" t="s">
        <v>281</v>
      </c>
      <c r="F4" s="638" t="s">
        <v>282</v>
      </c>
      <c r="G4" s="1015" t="s">
        <v>312</v>
      </c>
      <c r="H4" s="1015" t="s">
        <v>314</v>
      </c>
      <c r="I4" s="1017" t="s">
        <v>287</v>
      </c>
    </row>
    <row r="5" spans="1:9" ht="29" thickBot="1" x14ac:dyDescent="0.25">
      <c r="A5" s="995"/>
      <c r="B5" s="605" t="s">
        <v>293</v>
      </c>
      <c r="C5" s="640" t="s">
        <v>299</v>
      </c>
      <c r="D5" s="640" t="s">
        <v>300</v>
      </c>
      <c r="E5" s="640" t="s">
        <v>301</v>
      </c>
      <c r="F5" s="640" t="s">
        <v>302</v>
      </c>
      <c r="G5" s="1016"/>
      <c r="H5" s="1016"/>
      <c r="I5" s="1018"/>
    </row>
    <row r="6" spans="1:9" x14ac:dyDescent="0.2">
      <c r="A6" s="995"/>
      <c r="B6" s="620" t="s">
        <v>283</v>
      </c>
      <c r="C6" s="628" t="s">
        <v>284</v>
      </c>
      <c r="D6" s="628" t="s">
        <v>284</v>
      </c>
      <c r="E6" s="628" t="s">
        <v>284</v>
      </c>
      <c r="F6" s="628" t="s">
        <v>284</v>
      </c>
      <c r="G6" s="599" t="s">
        <v>289</v>
      </c>
      <c r="H6" s="599" t="s">
        <v>289</v>
      </c>
      <c r="I6" s="600" t="s">
        <v>289</v>
      </c>
    </row>
    <row r="7" spans="1:9" x14ac:dyDescent="0.2">
      <c r="A7" s="995"/>
      <c r="B7" s="621" t="s">
        <v>307</v>
      </c>
      <c r="C7" s="626" t="s">
        <v>284</v>
      </c>
      <c r="D7" s="626" t="s">
        <v>284</v>
      </c>
      <c r="E7" s="626" t="s">
        <v>284</v>
      </c>
      <c r="F7" s="626" t="s">
        <v>284</v>
      </c>
      <c r="G7" s="626" t="s">
        <v>290</v>
      </c>
      <c r="H7" s="598" t="s">
        <v>289</v>
      </c>
      <c r="I7" s="601" t="s">
        <v>290</v>
      </c>
    </row>
    <row r="8" spans="1:9" x14ac:dyDescent="0.2">
      <c r="A8" s="995"/>
      <c r="B8" s="621" t="s">
        <v>13</v>
      </c>
      <c r="C8" s="626" t="s">
        <v>284</v>
      </c>
      <c r="D8" s="626" t="s">
        <v>284</v>
      </c>
      <c r="E8" s="626" t="s">
        <v>284</v>
      </c>
      <c r="F8" s="626" t="s">
        <v>284</v>
      </c>
      <c r="G8" s="626" t="s">
        <v>289</v>
      </c>
      <c r="H8" s="626" t="s">
        <v>290</v>
      </c>
      <c r="I8" s="601" t="s">
        <v>289</v>
      </c>
    </row>
    <row r="9" spans="1:9" x14ac:dyDescent="0.2">
      <c r="A9" s="995"/>
      <c r="B9" s="621" t="s">
        <v>285</v>
      </c>
      <c r="C9" s="626" t="s">
        <v>284</v>
      </c>
      <c r="D9" s="626" t="s">
        <v>284</v>
      </c>
      <c r="E9" s="626" t="s">
        <v>284</v>
      </c>
      <c r="F9" s="626"/>
      <c r="G9" s="626" t="s">
        <v>290</v>
      </c>
      <c r="H9" s="626" t="s">
        <v>289</v>
      </c>
      <c r="I9" s="601" t="s">
        <v>289</v>
      </c>
    </row>
    <row r="10" spans="1:9" x14ac:dyDescent="0.2">
      <c r="A10" s="995"/>
      <c r="B10" s="621" t="s">
        <v>286</v>
      </c>
      <c r="C10" s="626" t="s">
        <v>284</v>
      </c>
      <c r="D10" s="626" t="s">
        <v>284</v>
      </c>
      <c r="E10" s="626" t="s">
        <v>284</v>
      </c>
      <c r="F10" s="626" t="s">
        <v>284</v>
      </c>
      <c r="G10" s="626" t="s">
        <v>289</v>
      </c>
      <c r="H10" s="626" t="s">
        <v>289</v>
      </c>
      <c r="I10" s="601" t="s">
        <v>289</v>
      </c>
    </row>
    <row r="11" spans="1:9" x14ac:dyDescent="0.2">
      <c r="A11" s="995"/>
      <c r="B11" s="1019" t="s">
        <v>321</v>
      </c>
      <c r="C11" s="1014"/>
      <c r="D11" s="1014"/>
      <c r="E11" s="1014"/>
      <c r="F11" s="1014" t="s">
        <v>292</v>
      </c>
      <c r="G11" s="1006" t="s">
        <v>289</v>
      </c>
      <c r="H11" s="1006" t="s">
        <v>289</v>
      </c>
      <c r="I11" s="1008" t="s">
        <v>289</v>
      </c>
    </row>
    <row r="12" spans="1:9" x14ac:dyDescent="0.2">
      <c r="A12" s="995"/>
      <c r="B12" s="1019"/>
      <c r="C12" s="1014"/>
      <c r="D12" s="1014"/>
      <c r="E12" s="1014"/>
      <c r="F12" s="1014"/>
      <c r="G12" s="1007"/>
      <c r="H12" s="1007"/>
      <c r="I12" s="1009"/>
    </row>
    <row r="13" spans="1:9" x14ac:dyDescent="0.2">
      <c r="A13" s="995"/>
      <c r="B13" s="625" t="s">
        <v>327</v>
      </c>
      <c r="C13" s="626" t="s">
        <v>292</v>
      </c>
      <c r="D13" s="626" t="s">
        <v>292</v>
      </c>
      <c r="E13" s="626" t="s">
        <v>292</v>
      </c>
      <c r="F13" s="626" t="s">
        <v>292</v>
      </c>
      <c r="G13" s="628" t="s">
        <v>289</v>
      </c>
      <c r="H13" s="628" t="s">
        <v>289</v>
      </c>
      <c r="I13" s="629" t="s">
        <v>289</v>
      </c>
    </row>
    <row r="14" spans="1:9" x14ac:dyDescent="0.2">
      <c r="A14" s="995"/>
      <c r="B14" s="621" t="s">
        <v>295</v>
      </c>
      <c r="C14" s="626" t="s">
        <v>284</v>
      </c>
      <c r="D14" s="626" t="s">
        <v>284</v>
      </c>
      <c r="E14" s="626" t="s">
        <v>284</v>
      </c>
      <c r="F14" s="626" t="s">
        <v>284</v>
      </c>
      <c r="G14" s="626" t="s">
        <v>289</v>
      </c>
      <c r="H14" s="626" t="s">
        <v>290</v>
      </c>
      <c r="I14" s="601" t="s">
        <v>289</v>
      </c>
    </row>
    <row r="15" spans="1:9" x14ac:dyDescent="0.2">
      <c r="A15" s="995"/>
      <c r="B15" s="1012" t="s">
        <v>408</v>
      </c>
      <c r="C15" s="1013" t="s">
        <v>284</v>
      </c>
      <c r="D15" s="1014" t="s">
        <v>284</v>
      </c>
      <c r="E15" s="1014" t="s">
        <v>284</v>
      </c>
      <c r="F15" s="1013" t="s">
        <v>284</v>
      </c>
      <c r="G15" s="1006" t="s">
        <v>290</v>
      </c>
      <c r="H15" s="1006" t="s">
        <v>290</v>
      </c>
      <c r="I15" s="1008" t="s">
        <v>289</v>
      </c>
    </row>
    <row r="16" spans="1:9" ht="1" customHeight="1" x14ac:dyDescent="0.2">
      <c r="A16" s="995"/>
      <c r="B16" s="1012"/>
      <c r="C16" s="1013"/>
      <c r="D16" s="1014"/>
      <c r="E16" s="1014"/>
      <c r="F16" s="1013"/>
      <c r="G16" s="1007"/>
      <c r="H16" s="1007"/>
      <c r="I16" s="1009"/>
    </row>
    <row r="17" spans="1:9" ht="42" x14ac:dyDescent="0.2">
      <c r="A17" s="995"/>
      <c r="B17" s="621" t="s">
        <v>309</v>
      </c>
      <c r="C17" s="626" t="s">
        <v>284</v>
      </c>
      <c r="D17" s="626" t="s">
        <v>284</v>
      </c>
      <c r="E17" s="626" t="s">
        <v>284</v>
      </c>
      <c r="F17" s="626" t="s">
        <v>284</v>
      </c>
      <c r="G17" s="830" t="s">
        <v>405</v>
      </c>
      <c r="H17" s="626" t="s">
        <v>290</v>
      </c>
      <c r="I17" s="601" t="s">
        <v>289</v>
      </c>
    </row>
    <row r="18" spans="1:9" x14ac:dyDescent="0.2">
      <c r="A18" s="995"/>
      <c r="B18" s="621" t="s">
        <v>69</v>
      </c>
      <c r="C18" s="626" t="s">
        <v>284</v>
      </c>
      <c r="D18" s="626" t="s">
        <v>284</v>
      </c>
      <c r="E18" s="626" t="s">
        <v>284</v>
      </c>
      <c r="F18" s="626" t="s">
        <v>284</v>
      </c>
      <c r="G18" s="626" t="s">
        <v>290</v>
      </c>
      <c r="H18" s="627" t="s">
        <v>290</v>
      </c>
      <c r="I18" s="601" t="s">
        <v>290</v>
      </c>
    </row>
    <row r="19" spans="1:9" x14ac:dyDescent="0.2">
      <c r="A19" s="995"/>
      <c r="B19" s="621" t="s">
        <v>291</v>
      </c>
      <c r="C19" s="626" t="s">
        <v>284</v>
      </c>
      <c r="D19" s="626" t="s">
        <v>284</v>
      </c>
      <c r="E19" s="626" t="s">
        <v>284</v>
      </c>
      <c r="F19" s="626" t="s">
        <v>284</v>
      </c>
      <c r="G19" s="626" t="s">
        <v>289</v>
      </c>
      <c r="H19" s="1010" t="s">
        <v>313</v>
      </c>
      <c r="I19" s="601" t="s">
        <v>289</v>
      </c>
    </row>
    <row r="20" spans="1:9" ht="16" thickBot="1" x14ac:dyDescent="0.25">
      <c r="A20" s="995"/>
      <c r="B20" s="622" t="s">
        <v>288</v>
      </c>
      <c r="C20" s="602" t="s">
        <v>284</v>
      </c>
      <c r="D20" s="602" t="s">
        <v>284</v>
      </c>
      <c r="E20" s="602" t="s">
        <v>284</v>
      </c>
      <c r="F20" s="602" t="s">
        <v>284</v>
      </c>
      <c r="G20" s="602" t="s">
        <v>289</v>
      </c>
      <c r="H20" s="1011"/>
      <c r="I20" s="603" t="s">
        <v>289</v>
      </c>
    </row>
    <row r="21" spans="1:9" x14ac:dyDescent="0.2">
      <c r="A21" s="995"/>
      <c r="B21" s="623" t="s">
        <v>263</v>
      </c>
      <c r="C21" s="613"/>
      <c r="D21" s="613"/>
      <c r="E21" s="614"/>
      <c r="F21" s="614"/>
      <c r="G21" s="615"/>
      <c r="H21" s="615"/>
      <c r="I21" s="616"/>
    </row>
    <row r="22" spans="1:9" x14ac:dyDescent="0.2">
      <c r="A22" s="995"/>
      <c r="B22" s="630" t="s">
        <v>264</v>
      </c>
      <c r="C22" s="630"/>
      <c r="D22" s="630"/>
      <c r="E22" s="631"/>
      <c r="F22" s="631"/>
      <c r="G22" s="59"/>
      <c r="H22" s="59"/>
      <c r="I22" s="617"/>
    </row>
    <row r="23" spans="1:9" x14ac:dyDescent="0.2">
      <c r="A23" s="995"/>
      <c r="B23" s="630" t="s">
        <v>344</v>
      </c>
      <c r="C23" s="630"/>
      <c r="D23" s="630"/>
      <c r="E23" s="631"/>
      <c r="F23" s="631"/>
      <c r="G23" s="59"/>
      <c r="H23" s="59"/>
      <c r="I23" s="617"/>
    </row>
    <row r="24" spans="1:9" x14ac:dyDescent="0.2">
      <c r="A24" s="995"/>
      <c r="B24" s="656" t="s">
        <v>343</v>
      </c>
      <c r="C24" s="656"/>
      <c r="D24" s="656"/>
      <c r="E24" s="657"/>
      <c r="F24" s="657"/>
      <c r="G24" s="59"/>
      <c r="H24" s="59"/>
      <c r="I24" s="617"/>
    </row>
    <row r="25" spans="1:9" x14ac:dyDescent="0.2">
      <c r="A25" s="995"/>
      <c r="B25" s="1004" t="s">
        <v>297</v>
      </c>
      <c r="C25" s="1004"/>
      <c r="D25" s="1004"/>
      <c r="E25" s="1004"/>
      <c r="F25" s="1004"/>
      <c r="G25" s="1004"/>
      <c r="H25" s="1004"/>
      <c r="I25" s="1005"/>
    </row>
    <row r="26" spans="1:9" x14ac:dyDescent="0.2">
      <c r="A26" s="995"/>
      <c r="B26" s="1004"/>
      <c r="C26" s="1004"/>
      <c r="D26" s="1004"/>
      <c r="E26" s="1004"/>
      <c r="F26" s="1004"/>
      <c r="G26" s="1004"/>
      <c r="H26" s="1004"/>
      <c r="I26" s="1005"/>
    </row>
    <row r="27" spans="1:9" ht="16" thickBot="1" x14ac:dyDescent="0.25">
      <c r="A27" s="996"/>
      <c r="B27" s="618"/>
      <c r="C27" s="618"/>
      <c r="D27" s="618"/>
      <c r="E27" s="618"/>
      <c r="F27" s="618"/>
      <c r="G27" s="618"/>
      <c r="H27" s="618"/>
      <c r="I27" s="619"/>
    </row>
    <row r="28" spans="1:9" x14ac:dyDescent="0.2">
      <c r="B28" s="606"/>
      <c r="C28" s="606"/>
      <c r="D28" s="606"/>
      <c r="E28" s="606"/>
      <c r="F28" s="606"/>
      <c r="G28" s="606"/>
      <c r="H28" s="606"/>
      <c r="I28" s="606"/>
    </row>
    <row r="29" spans="1:9" ht="16" thickBot="1" x14ac:dyDescent="0.25">
      <c r="B29" s="593"/>
      <c r="C29" s="593"/>
      <c r="D29" s="593"/>
      <c r="E29" s="80"/>
      <c r="F29" s="596"/>
      <c r="G29" s="597"/>
      <c r="H29" s="597"/>
      <c r="I29" s="597"/>
    </row>
    <row r="30" spans="1:9" ht="22" customHeight="1" thickBot="1" x14ac:dyDescent="0.3">
      <c r="A30" s="994" t="s">
        <v>304</v>
      </c>
      <c r="B30" s="992" t="s">
        <v>298</v>
      </c>
      <c r="C30" s="992"/>
      <c r="D30" s="992"/>
      <c r="E30" s="992"/>
      <c r="F30" s="992"/>
      <c r="G30" s="992"/>
      <c r="H30" s="992"/>
      <c r="I30" s="993"/>
    </row>
    <row r="31" spans="1:9" ht="37" customHeight="1" thickBot="1" x14ac:dyDescent="0.25">
      <c r="A31" s="995"/>
      <c r="B31" s="989" t="s">
        <v>306</v>
      </c>
      <c r="C31" s="990"/>
      <c r="D31" s="990"/>
      <c r="E31" s="990"/>
      <c r="F31" s="990"/>
      <c r="G31" s="990"/>
      <c r="H31" s="990"/>
      <c r="I31" s="991"/>
    </row>
    <row r="32" spans="1:9" ht="17" thickBot="1" x14ac:dyDescent="0.25">
      <c r="A32" s="995"/>
      <c r="B32" s="607" t="s">
        <v>316</v>
      </c>
      <c r="C32" s="607"/>
      <c r="D32" s="607"/>
      <c r="E32" s="607"/>
      <c r="F32" s="607"/>
      <c r="G32" s="1038" t="s">
        <v>58</v>
      </c>
      <c r="H32" s="1039"/>
      <c r="I32" s="1040"/>
    </row>
    <row r="33" spans="1:11" x14ac:dyDescent="0.2">
      <c r="A33" s="995"/>
      <c r="B33" s="608" t="s">
        <v>266</v>
      </c>
      <c r="C33" s="608"/>
      <c r="D33" s="608"/>
      <c r="E33" s="608"/>
      <c r="F33" s="608"/>
      <c r="G33" s="1035" t="s">
        <v>310</v>
      </c>
      <c r="H33" s="1036"/>
      <c r="I33" s="1037"/>
    </row>
    <row r="34" spans="1:11" x14ac:dyDescent="0.2">
      <c r="A34" s="995"/>
      <c r="B34" s="609" t="s">
        <v>328</v>
      </c>
      <c r="C34" s="609"/>
      <c r="D34" s="609"/>
      <c r="E34" s="609"/>
      <c r="F34" s="609"/>
      <c r="G34" s="1026" t="s">
        <v>311</v>
      </c>
      <c r="H34" s="1027"/>
      <c r="I34" s="1028"/>
    </row>
    <row r="35" spans="1:11" ht="16" thickBot="1" x14ac:dyDescent="0.25">
      <c r="A35" s="995"/>
      <c r="B35" s="610" t="s">
        <v>329</v>
      </c>
      <c r="C35" s="610"/>
      <c r="D35" s="610"/>
      <c r="E35" s="610"/>
      <c r="F35" s="610"/>
      <c r="G35" s="1029">
        <v>48</v>
      </c>
      <c r="H35" s="1030"/>
      <c r="I35" s="1031"/>
    </row>
    <row r="36" spans="1:11" ht="16" thickBot="1" x14ac:dyDescent="0.25">
      <c r="A36" s="995"/>
      <c r="B36" s="997"/>
      <c r="C36" s="998"/>
      <c r="D36" s="998"/>
      <c r="E36" s="998"/>
      <c r="F36" s="998"/>
      <c r="G36" s="998"/>
      <c r="H36" s="998"/>
      <c r="I36" s="999"/>
      <c r="J36" s="624"/>
      <c r="K36" s="624"/>
    </row>
    <row r="37" spans="1:11" ht="17" thickBot="1" x14ac:dyDescent="0.25">
      <c r="A37" s="995"/>
      <c r="B37" s="607" t="s">
        <v>315</v>
      </c>
      <c r="C37" s="607"/>
      <c r="D37" s="607"/>
      <c r="E37" s="607"/>
      <c r="F37" s="607"/>
      <c r="G37" s="1032" t="s">
        <v>58</v>
      </c>
      <c r="H37" s="1033"/>
      <c r="I37" s="1034"/>
    </row>
    <row r="38" spans="1:11" x14ac:dyDescent="0.2">
      <c r="A38" s="995"/>
      <c r="B38" s="611" t="s">
        <v>267</v>
      </c>
      <c r="C38" s="611"/>
      <c r="D38" s="611"/>
      <c r="E38" s="611"/>
      <c r="F38" s="611"/>
      <c r="G38" s="1035" t="s">
        <v>271</v>
      </c>
      <c r="H38" s="1036"/>
      <c r="I38" s="1037"/>
    </row>
    <row r="39" spans="1:11" x14ac:dyDescent="0.2">
      <c r="A39" s="995"/>
      <c r="B39" s="609" t="s">
        <v>268</v>
      </c>
      <c r="C39" s="609"/>
      <c r="D39" s="609"/>
      <c r="E39" s="609"/>
      <c r="F39" s="609"/>
      <c r="G39" s="1026" t="s">
        <v>272</v>
      </c>
      <c r="H39" s="1027"/>
      <c r="I39" s="1028"/>
    </row>
    <row r="40" spans="1:11" x14ac:dyDescent="0.2">
      <c r="A40" s="995"/>
      <c r="B40" s="609" t="s">
        <v>269</v>
      </c>
      <c r="C40" s="609"/>
      <c r="D40" s="609"/>
      <c r="E40" s="609"/>
      <c r="F40" s="609"/>
      <c r="G40" s="1026" t="s">
        <v>273</v>
      </c>
      <c r="H40" s="1027"/>
      <c r="I40" s="1028"/>
    </row>
    <row r="41" spans="1:11" ht="16" thickBot="1" x14ac:dyDescent="0.25">
      <c r="A41" s="995"/>
      <c r="B41" s="610" t="s">
        <v>270</v>
      </c>
      <c r="C41" s="610"/>
      <c r="D41" s="610"/>
      <c r="E41" s="610"/>
      <c r="F41" s="610"/>
      <c r="G41" s="1029" t="s">
        <v>274</v>
      </c>
      <c r="H41" s="1030"/>
      <c r="I41" s="1031"/>
    </row>
    <row r="42" spans="1:11" ht="16" thickBot="1" x14ac:dyDescent="0.25">
      <c r="A42" s="995"/>
      <c r="B42" s="997"/>
      <c r="C42" s="998"/>
      <c r="D42" s="998"/>
      <c r="E42" s="998"/>
      <c r="F42" s="998"/>
      <c r="G42" s="998"/>
      <c r="H42" s="998"/>
      <c r="I42" s="999"/>
      <c r="J42" s="624"/>
      <c r="K42" s="624"/>
    </row>
    <row r="43" spans="1:11" ht="16" x14ac:dyDescent="0.2">
      <c r="A43" s="995"/>
      <c r="B43" s="594" t="s">
        <v>317</v>
      </c>
      <c r="C43" s="594"/>
      <c r="D43" s="594"/>
      <c r="E43" s="594"/>
      <c r="F43" s="594"/>
      <c r="G43" s="1020" t="s">
        <v>278</v>
      </c>
      <c r="H43" s="1021"/>
      <c r="I43" s="1022"/>
    </row>
    <row r="44" spans="1:11" x14ac:dyDescent="0.2">
      <c r="A44" s="995"/>
      <c r="B44" s="595" t="s">
        <v>318</v>
      </c>
      <c r="C44" s="595"/>
      <c r="D44" s="595"/>
      <c r="E44" s="595"/>
      <c r="F44" s="595"/>
      <c r="G44" s="1023"/>
      <c r="H44" s="1024"/>
      <c r="I44" s="1025"/>
    </row>
    <row r="45" spans="1:11" x14ac:dyDescent="0.2">
      <c r="A45" s="995"/>
      <c r="B45" s="612" t="s">
        <v>275</v>
      </c>
      <c r="C45" s="612"/>
      <c r="D45" s="612"/>
      <c r="E45" s="612"/>
      <c r="F45" s="612"/>
      <c r="G45" s="1026" t="s">
        <v>276</v>
      </c>
      <c r="H45" s="1027"/>
      <c r="I45" s="1028"/>
    </row>
    <row r="46" spans="1:11" ht="16" thickBot="1" x14ac:dyDescent="0.25">
      <c r="A46" s="996"/>
      <c r="B46" s="303" t="s">
        <v>319</v>
      </c>
      <c r="C46" s="303"/>
      <c r="D46" s="303"/>
      <c r="E46" s="303"/>
      <c r="F46" s="303"/>
      <c r="G46" s="1029" t="s">
        <v>277</v>
      </c>
      <c r="H46" s="1030"/>
      <c r="I46" s="1031"/>
    </row>
  </sheetData>
  <sheetProtection sheet="1" objects="1" scenarios="1"/>
  <mergeCells count="41">
    <mergeCell ref="G35:I35"/>
    <mergeCell ref="G37:I37"/>
    <mergeCell ref="G38:I38"/>
    <mergeCell ref="G32:I32"/>
    <mergeCell ref="G33:I33"/>
    <mergeCell ref="G34:I34"/>
    <mergeCell ref="G43:I44"/>
    <mergeCell ref="G45:I45"/>
    <mergeCell ref="G46:I46"/>
    <mergeCell ref="G39:I39"/>
    <mergeCell ref="G40:I40"/>
    <mergeCell ref="G41:I41"/>
    <mergeCell ref="B11:B12"/>
    <mergeCell ref="C11:C12"/>
    <mergeCell ref="D11:D12"/>
    <mergeCell ref="E11:E12"/>
    <mergeCell ref="F11:F12"/>
    <mergeCell ref="E15:E16"/>
    <mergeCell ref="F15:F16"/>
    <mergeCell ref="G4:G5"/>
    <mergeCell ref="H4:H5"/>
    <mergeCell ref="I4:I5"/>
    <mergeCell ref="G11:G12"/>
    <mergeCell ref="H11:H12"/>
    <mergeCell ref="I11:I12"/>
    <mergeCell ref="B3:I3"/>
    <mergeCell ref="B31:I31"/>
    <mergeCell ref="B30:I30"/>
    <mergeCell ref="A1:A27"/>
    <mergeCell ref="A30:A46"/>
    <mergeCell ref="B36:I36"/>
    <mergeCell ref="B42:I42"/>
    <mergeCell ref="B1:I2"/>
    <mergeCell ref="B25:I26"/>
    <mergeCell ref="G15:G16"/>
    <mergeCell ref="H15:H16"/>
    <mergeCell ref="I15:I16"/>
    <mergeCell ref="H19:H20"/>
    <mergeCell ref="B15:B16"/>
    <mergeCell ref="C15:C16"/>
    <mergeCell ref="D15:D16"/>
  </mergeCells>
  <phoneticPr fontId="6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205"/>
  <sheetViews>
    <sheetView view="pageBreakPreview" zoomScaleSheetLayoutView="125" workbookViewId="0">
      <selection activeCell="F28" sqref="F28:I28"/>
    </sheetView>
  </sheetViews>
  <sheetFormatPr baseColWidth="10" defaultColWidth="8.83203125" defaultRowHeight="14" x14ac:dyDescent="0.15"/>
  <cols>
    <col min="1" max="9" width="13.33203125" style="2" customWidth="1"/>
    <col min="10" max="10" width="9.33203125" style="2" bestFit="1" customWidth="1"/>
    <col min="11" max="16384" width="8.83203125" style="2"/>
  </cols>
  <sheetData>
    <row r="1" spans="1:22" ht="23" customHeight="1" x14ac:dyDescent="0.2">
      <c r="A1" s="1118" t="s">
        <v>20</v>
      </c>
      <c r="B1" s="1119"/>
      <c r="C1" s="1119"/>
      <c r="D1" s="1119"/>
      <c r="E1" s="1119"/>
      <c r="F1" s="1119"/>
      <c r="G1" s="1119"/>
      <c r="H1" s="1119"/>
      <c r="I1" s="1120"/>
      <c r="J1" s="42"/>
    </row>
    <row r="2" spans="1:22" ht="23" customHeight="1" x14ac:dyDescent="0.2">
      <c r="A2" s="1133" t="s">
        <v>6</v>
      </c>
      <c r="B2" s="1134"/>
      <c r="C2" s="1134"/>
      <c r="D2" s="1134"/>
      <c r="E2" s="1134"/>
      <c r="F2" s="1134"/>
      <c r="G2" s="1134"/>
      <c r="H2" s="1134"/>
      <c r="I2" s="1135"/>
    </row>
    <row r="3" spans="1:22" ht="24" customHeight="1" thickBot="1" x14ac:dyDescent="0.25">
      <c r="A3" s="1151" t="str">
        <f>'Forside 1'!A6:I6</f>
        <v>Gældende fra 1. april 2018</v>
      </c>
      <c r="B3" s="1152"/>
      <c r="C3" s="1152"/>
      <c r="D3" s="1152"/>
      <c r="E3" s="1152"/>
      <c r="F3" s="1152"/>
      <c r="G3" s="1152"/>
      <c r="H3" s="1152"/>
      <c r="I3" s="1153"/>
      <c r="N3" s="79"/>
      <c r="O3" s="79"/>
      <c r="P3" s="79"/>
      <c r="Q3" s="79"/>
      <c r="R3" s="79"/>
      <c r="S3" s="79"/>
      <c r="T3" s="79"/>
      <c r="U3" s="79"/>
      <c r="V3" s="79"/>
    </row>
    <row r="4" spans="1:22" ht="20" customHeight="1" thickBot="1" x14ac:dyDescent="0.25">
      <c r="A4" s="44"/>
      <c r="B4" s="44"/>
      <c r="C4" s="44"/>
      <c r="D4" s="44"/>
      <c r="E4" s="44"/>
      <c r="F4" s="44"/>
      <c r="G4" s="44"/>
      <c r="H4" s="44"/>
      <c r="I4" s="44"/>
      <c r="N4" s="1150"/>
      <c r="O4" s="1150"/>
      <c r="P4" s="1150"/>
      <c r="Q4" s="1150"/>
      <c r="R4" s="1150"/>
      <c r="S4" s="1150"/>
      <c r="T4" s="1150"/>
      <c r="U4" s="1150"/>
      <c r="V4" s="1150"/>
    </row>
    <row r="5" spans="1:22" ht="20" customHeight="1" x14ac:dyDescent="0.2">
      <c r="A5" s="1076" t="s">
        <v>283</v>
      </c>
      <c r="B5" s="1077"/>
      <c r="C5" s="1077"/>
      <c r="D5" s="1077"/>
      <c r="E5" s="1077"/>
      <c r="F5" s="1077"/>
      <c r="G5" s="1077"/>
      <c r="H5" s="1078"/>
      <c r="I5" s="68"/>
      <c r="N5" s="79"/>
      <c r="O5" s="79"/>
      <c r="P5" s="79"/>
      <c r="Q5" s="79"/>
      <c r="R5" s="79"/>
      <c r="S5" s="79"/>
      <c r="T5" s="79"/>
      <c r="U5" s="79"/>
      <c r="V5" s="79"/>
    </row>
    <row r="6" spans="1:22" ht="20" customHeight="1" thickBot="1" x14ac:dyDescent="0.25">
      <c r="A6" s="1167" t="s">
        <v>363</v>
      </c>
      <c r="B6" s="1168"/>
      <c r="C6" s="1168"/>
      <c r="D6" s="1168"/>
      <c r="E6" s="1168"/>
      <c r="F6" s="1168"/>
      <c r="G6" s="1168"/>
      <c r="H6" s="1169"/>
      <c r="I6" s="68"/>
      <c r="N6" s="79"/>
      <c r="O6" s="79"/>
      <c r="P6" s="79"/>
      <c r="Q6" s="79"/>
      <c r="R6" s="79"/>
      <c r="S6" s="79"/>
      <c r="T6" s="79"/>
      <c r="U6" s="79"/>
      <c r="V6" s="79"/>
    </row>
    <row r="7" spans="1:22" ht="24" customHeight="1" thickBot="1" x14ac:dyDescent="0.2">
      <c r="A7" s="1160" t="s">
        <v>96</v>
      </c>
      <c r="B7" s="1157" t="s">
        <v>0</v>
      </c>
      <c r="C7" s="1055" t="s">
        <v>4</v>
      </c>
      <c r="D7" s="1055"/>
      <c r="E7" s="1116"/>
      <c r="F7" s="1154" t="s">
        <v>5</v>
      </c>
      <c r="G7" s="1155"/>
      <c r="H7" s="1156"/>
      <c r="I7" s="69"/>
      <c r="J7" s="27"/>
    </row>
    <row r="8" spans="1:22" ht="28" x14ac:dyDescent="0.15">
      <c r="A8" s="1161"/>
      <c r="B8" s="1158"/>
      <c r="C8" s="397" t="s">
        <v>138</v>
      </c>
      <c r="D8" s="397" t="s">
        <v>398</v>
      </c>
      <c r="E8" s="397" t="s">
        <v>303</v>
      </c>
      <c r="F8" s="792" t="s">
        <v>138</v>
      </c>
      <c r="G8" s="792" t="s">
        <v>398</v>
      </c>
      <c r="H8" s="792" t="s">
        <v>303</v>
      </c>
      <c r="I8" s="56"/>
    </row>
    <row r="9" spans="1:22" ht="18" customHeight="1" thickBot="1" x14ac:dyDescent="0.2">
      <c r="A9" s="1162"/>
      <c r="B9" s="1159"/>
      <c r="C9" s="398">
        <v>40999</v>
      </c>
      <c r="D9" s="398" t="str">
        <f>'Løntabel gældende fra'!$D$1</f>
        <v>01/04/2018</v>
      </c>
      <c r="E9" s="398" t="str">
        <f>'Løntabel gældende fra'!$D$1</f>
        <v>01/04/2018</v>
      </c>
      <c r="F9" s="399">
        <v>40999</v>
      </c>
      <c r="G9" s="398" t="str">
        <f>'Løntabel gældende fra'!$D$1</f>
        <v>01/04/2018</v>
      </c>
      <c r="H9" s="398" t="str">
        <f>'Løntabel gældende fra'!$D$1</f>
        <v>01/04/2018</v>
      </c>
      <c r="I9" s="67"/>
    </row>
    <row r="10" spans="1:22" ht="15" customHeight="1" x14ac:dyDescent="0.15">
      <c r="A10" s="402" t="s">
        <v>1</v>
      </c>
      <c r="B10" s="403">
        <v>1</v>
      </c>
      <c r="C10" s="160">
        <v>279695</v>
      </c>
      <c r="D10" s="161">
        <f>C10+(C10*'Løntabel gældende fra'!$D$7%)</f>
        <v>299184.98668500001</v>
      </c>
      <c r="E10" s="161">
        <f>D10/12</f>
        <v>24932.08222375</v>
      </c>
      <c r="F10" s="160">
        <v>266588</v>
      </c>
      <c r="G10" s="162">
        <f>F10+(F10*'Løntabel gældende fra'!$D$7%)</f>
        <v>285164.65160400001</v>
      </c>
      <c r="H10" s="161">
        <f>G10/12</f>
        <v>23763.720967000001</v>
      </c>
      <c r="I10" s="10"/>
    </row>
    <row r="11" spans="1:22" ht="15" customHeight="1" x14ac:dyDescent="0.15">
      <c r="A11" s="404" t="s">
        <v>52</v>
      </c>
      <c r="B11" s="405">
        <v>2</v>
      </c>
      <c r="C11" s="163">
        <v>298044</v>
      </c>
      <c r="D11" s="164">
        <f>C11+(C11*'Løntabel gældende fra'!$D$7%)</f>
        <v>318812.60005200002</v>
      </c>
      <c r="E11" s="164">
        <f>D11/12</f>
        <v>26567.716671000002</v>
      </c>
      <c r="F11" s="163">
        <v>279695</v>
      </c>
      <c r="G11" s="165">
        <f>F11+(F11*'Løntabel gældende fra'!$D$7%)</f>
        <v>299184.98668500001</v>
      </c>
      <c r="H11" s="166">
        <f>G11/12</f>
        <v>24932.08222375</v>
      </c>
      <c r="I11" s="10"/>
    </row>
    <row r="12" spans="1:22" ht="15" customHeight="1" x14ac:dyDescent="0.15">
      <c r="A12" s="404" t="s">
        <v>2</v>
      </c>
      <c r="B12" s="405">
        <v>3</v>
      </c>
      <c r="C12" s="163">
        <v>325699</v>
      </c>
      <c r="D12" s="164">
        <f>C12+(C12*'Løntabel gældende fra'!$D$7%)</f>
        <v>348394.68341699999</v>
      </c>
      <c r="E12" s="164">
        <f>D12/12</f>
        <v>29032.890284749999</v>
      </c>
      <c r="F12" s="163">
        <v>290311</v>
      </c>
      <c r="G12" s="165">
        <f>F12+(F12*'Løntabel gældende fra'!$D$7%)</f>
        <v>310540.74141299998</v>
      </c>
      <c r="H12" s="166">
        <f>G12/12</f>
        <v>25878.395117749998</v>
      </c>
      <c r="I12" s="10"/>
    </row>
    <row r="13" spans="1:22" ht="15" customHeight="1" thickBot="1" x14ac:dyDescent="0.2">
      <c r="A13" s="406" t="s">
        <v>3</v>
      </c>
      <c r="B13" s="407">
        <v>4</v>
      </c>
      <c r="C13" s="168">
        <v>351388</v>
      </c>
      <c r="D13" s="169">
        <f>C13+(C13*'Løntabel gældende fra'!$D$7%)</f>
        <v>375873.77000399999</v>
      </c>
      <c r="E13" s="169">
        <f>D13/12</f>
        <v>31322.814167</v>
      </c>
      <c r="F13" s="168">
        <v>309054</v>
      </c>
      <c r="G13" s="170">
        <f>F13+(F13*'Løntabel gældende fra'!$D$7%)</f>
        <v>330589.80988199997</v>
      </c>
      <c r="H13" s="171">
        <f>G13/12</f>
        <v>27549.150823499996</v>
      </c>
      <c r="I13" s="10"/>
    </row>
    <row r="14" spans="1:22" ht="21" customHeight="1" thickBot="1" x14ac:dyDescent="0.2">
      <c r="A14" s="8"/>
      <c r="B14" s="8"/>
      <c r="C14" s="9"/>
      <c r="D14" s="8"/>
      <c r="E14" s="8"/>
      <c r="F14" s="9"/>
      <c r="G14" s="8"/>
      <c r="H14" s="8"/>
      <c r="I14" s="10"/>
    </row>
    <row r="15" spans="1:22" ht="20" customHeight="1" x14ac:dyDescent="0.2">
      <c r="A15" s="1076" t="s">
        <v>464</v>
      </c>
      <c r="B15" s="1077"/>
      <c r="C15" s="1077"/>
      <c r="D15" s="1077"/>
      <c r="E15" s="1077"/>
      <c r="F15" s="1077"/>
      <c r="G15" s="1077"/>
      <c r="H15" s="1078"/>
      <c r="I15" s="68"/>
    </row>
    <row r="16" spans="1:22" ht="20" customHeight="1" thickBot="1" x14ac:dyDescent="0.25">
      <c r="A16" s="1167" t="s">
        <v>349</v>
      </c>
      <c r="B16" s="1168"/>
      <c r="C16" s="1168"/>
      <c r="D16" s="1168"/>
      <c r="E16" s="1168"/>
      <c r="F16" s="1168"/>
      <c r="G16" s="1168"/>
      <c r="H16" s="1169"/>
      <c r="I16" s="68"/>
    </row>
    <row r="17" spans="1:9" ht="23" customHeight="1" thickBot="1" x14ac:dyDescent="0.2">
      <c r="A17" s="1085" t="s">
        <v>11</v>
      </c>
      <c r="B17" s="1086"/>
      <c r="C17" s="1054" t="s">
        <v>4</v>
      </c>
      <c r="D17" s="1055"/>
      <c r="E17" s="1116"/>
      <c r="F17" s="1154" t="s">
        <v>5</v>
      </c>
      <c r="G17" s="1155"/>
      <c r="H17" s="1156"/>
      <c r="I17" s="69"/>
    </row>
    <row r="18" spans="1:9" x14ac:dyDescent="0.15">
      <c r="A18" s="1128"/>
      <c r="B18" s="1129"/>
      <c r="C18" s="1083" t="s">
        <v>250</v>
      </c>
      <c r="D18" s="397" t="s">
        <v>100</v>
      </c>
      <c r="E18" s="397" t="s">
        <v>397</v>
      </c>
      <c r="F18" s="1083" t="s">
        <v>250</v>
      </c>
      <c r="G18" s="397" t="s">
        <v>101</v>
      </c>
      <c r="H18" s="792" t="s">
        <v>397</v>
      </c>
      <c r="I18" s="11"/>
    </row>
    <row r="19" spans="1:9" ht="15" thickBot="1" x14ac:dyDescent="0.2">
      <c r="A19" s="1128"/>
      <c r="B19" s="1129"/>
      <c r="C19" s="1121"/>
      <c r="D19" s="400">
        <v>40999</v>
      </c>
      <c r="E19" s="401" t="str">
        <f>'Løntabel gældende fra'!$D$1</f>
        <v>01/04/2018</v>
      </c>
      <c r="F19" s="1121"/>
      <c r="G19" s="400">
        <v>40999</v>
      </c>
      <c r="H19" s="401" t="str">
        <f>'Løntabel gældende fra'!$D$1</f>
        <v>01/04/2018</v>
      </c>
      <c r="I19" s="70"/>
    </row>
    <row r="20" spans="1:9" ht="15" customHeight="1" x14ac:dyDescent="0.15">
      <c r="A20" s="1128"/>
      <c r="B20" s="1130"/>
      <c r="C20" s="172" t="s">
        <v>44</v>
      </c>
      <c r="D20" s="173">
        <v>16.38</v>
      </c>
      <c r="E20" s="164">
        <f>D20+(D20*'Løntabel gældende fra'!$D$7%)</f>
        <v>17.521407539999998</v>
      </c>
      <c r="F20" s="174" t="s">
        <v>48</v>
      </c>
      <c r="G20" s="175">
        <v>22.4054</v>
      </c>
      <c r="H20" s="164">
        <f>G20+(G20*'Løntabel gældende fra'!$D$7%)</f>
        <v>23.9666754882</v>
      </c>
      <c r="I20" s="51"/>
    </row>
    <row r="21" spans="1:9" ht="15" customHeight="1" x14ac:dyDescent="0.15">
      <c r="A21" s="1128"/>
      <c r="B21" s="1130"/>
      <c r="C21" s="176" t="s">
        <v>45</v>
      </c>
      <c r="D21" s="165">
        <v>98.3</v>
      </c>
      <c r="E21" s="164">
        <f>D21+(D21*'Løntabel gældende fra'!$D$7%)</f>
        <v>105.14983889999999</v>
      </c>
      <c r="F21" s="177" t="s">
        <v>49</v>
      </c>
      <c r="G21" s="178">
        <v>65.525400000000005</v>
      </c>
      <c r="H21" s="164">
        <f>G21+(G21*'Løntabel gældende fra'!$D$7%)</f>
        <v>70.091406448200004</v>
      </c>
      <c r="I21" s="51"/>
    </row>
    <row r="22" spans="1:9" ht="15" customHeight="1" x14ac:dyDescent="0.15">
      <c r="A22" s="1128"/>
      <c r="B22" s="1130"/>
      <c r="C22" s="176" t="s">
        <v>46</v>
      </c>
      <c r="D22" s="179">
        <v>131.07</v>
      </c>
      <c r="E22" s="164">
        <f>D22+(D22*'Løntabel gældende fra'!$D$7%)</f>
        <v>140.20335080999999</v>
      </c>
      <c r="F22" s="177" t="s">
        <v>50</v>
      </c>
      <c r="G22" s="178">
        <v>131.07</v>
      </c>
      <c r="H22" s="164">
        <f>G22+(G22*'Løntabel gældende fra'!$D$7%)</f>
        <v>140.20335080999999</v>
      </c>
      <c r="I22" s="51"/>
    </row>
    <row r="23" spans="1:9" ht="15" customHeight="1" thickBot="1" x14ac:dyDescent="0.2">
      <c r="A23" s="1131"/>
      <c r="B23" s="1132"/>
      <c r="C23" s="180" t="s">
        <v>47</v>
      </c>
      <c r="D23" s="181">
        <v>163.83000000000001</v>
      </c>
      <c r="E23" s="169">
        <f>D23+(D23*'Løntabel gældende fra'!$D$7%)</f>
        <v>175.24616589000001</v>
      </c>
      <c r="F23" s="182" t="s">
        <v>51</v>
      </c>
      <c r="G23" s="183">
        <v>163.82830000000001</v>
      </c>
      <c r="H23" s="169">
        <f>G23+(G23*'Løntabel gældende fra'!$D$7%)</f>
        <v>175.24434742890003</v>
      </c>
      <c r="I23" s="51"/>
    </row>
    <row r="24" spans="1:9" s="135" customFormat="1" ht="21" customHeight="1" thickBot="1" x14ac:dyDescent="0.2">
      <c r="A24" s="131"/>
      <c r="B24" s="131"/>
      <c r="C24" s="132"/>
      <c r="D24" s="133"/>
      <c r="E24" s="133"/>
      <c r="F24" s="132"/>
      <c r="G24" s="133"/>
      <c r="H24" s="133"/>
      <c r="I24" s="134"/>
    </row>
    <row r="25" spans="1:9" ht="20" customHeight="1" x14ac:dyDescent="0.15">
      <c r="A25" s="1056" t="s">
        <v>261</v>
      </c>
      <c r="B25" s="1146"/>
      <c r="C25" s="1146"/>
      <c r="D25" s="1146"/>
      <c r="E25" s="1146"/>
      <c r="F25" s="1146"/>
      <c r="G25" s="1146"/>
      <c r="H25" s="1146"/>
      <c r="I25" s="1147"/>
    </row>
    <row r="26" spans="1:9" ht="20" customHeight="1" thickBot="1" x14ac:dyDescent="0.2">
      <c r="A26" s="1180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01/04/2018</v>
      </c>
      <c r="B26" s="1181"/>
      <c r="C26" s="1181"/>
      <c r="D26" s="1181"/>
      <c r="E26" s="1181"/>
      <c r="F26" s="1181"/>
      <c r="G26" s="1181"/>
      <c r="H26" s="1181"/>
      <c r="I26" s="1182"/>
    </row>
    <row r="27" spans="1:9" ht="24" customHeight="1" x14ac:dyDescent="0.15">
      <c r="A27" s="1126"/>
      <c r="B27" s="1127"/>
      <c r="C27" s="1123" t="s">
        <v>4</v>
      </c>
      <c r="D27" s="1123"/>
      <c r="E27" s="1124"/>
      <c r="F27" s="1122" t="s">
        <v>5</v>
      </c>
      <c r="G27" s="1123"/>
      <c r="H27" s="1123"/>
      <c r="I27" s="1124"/>
    </row>
    <row r="28" spans="1:9" ht="20" customHeight="1" x14ac:dyDescent="0.15">
      <c r="A28" s="1138" t="s">
        <v>12</v>
      </c>
      <c r="B28" s="1139"/>
      <c r="C28" s="1140"/>
      <c r="D28" s="1141"/>
      <c r="E28" s="1142"/>
      <c r="F28" s="1140"/>
      <c r="G28" s="1141"/>
      <c r="H28" s="1141"/>
      <c r="I28" s="1142"/>
    </row>
    <row r="29" spans="1:9" ht="32.25" customHeight="1" thickBot="1" x14ac:dyDescent="0.2">
      <c r="A29" s="1136" t="str">
        <f>"Mdr. undervisningstillæg pr. "&amp;'Løntabel gældende fra'!D1&amp;""</f>
        <v>Mdr. undervisningstillæg pr. 01/04/2018</v>
      </c>
      <c r="B29" s="1137"/>
      <c r="C29" s="1143">
        <f>IF(C28&lt;650,C28*E20,IF(AND(C28&gt;=650,C28&lt;700),650*E20+(C28-650)*E21,IF(AND(C28&gt;=700,C28&lt;750),650*E20+50*E21+(C28-700)*E22,IF(C28&gt;=750,650*E20+50*E21+50*E22+(C28-750)*E23,))))/12</f>
        <v>0</v>
      </c>
      <c r="D29" s="1144" t="e">
        <f t="shared" ref="D29:H29" si="0">IF(D28&lt;750,D28*F20,IF(AND(D28&gt;=750,D28&lt;800),750*F20+(D28-750)*F21,IF(AND(D28&gt;=800,D28&lt;835),750*F20+50*F21+(D28-800)*F22,IF(D28&gt;=835,750*F20+50*F21+35*F22+(D28-835)*F23,))))</f>
        <v>#VALUE!</v>
      </c>
      <c r="E29" s="1145">
        <f t="shared" si="0"/>
        <v>0</v>
      </c>
      <c r="F29" s="1143">
        <f>IF(F28&lt;750,F28*H20,IF(AND(F28&gt;=750,F28&lt;800),750*H20+(F28-750)*H21,IF(AND(F28&gt;=800,F28&lt;835),750*H20+50*H21+(F28-800)*H22,IF(F28&gt;=835,750*H20+50*H21+35*H22+(F28-835)*H23,))))/12</f>
        <v>0</v>
      </c>
      <c r="G29" s="1144">
        <f t="shared" si="0"/>
        <v>0</v>
      </c>
      <c r="H29" s="1144">
        <f t="shared" si="0"/>
        <v>0</v>
      </c>
      <c r="I29" s="1145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10.5" customHeight="1" thickBot="1" x14ac:dyDescent="0.2">
      <c r="A30" s="57"/>
      <c r="B30" s="57"/>
      <c r="C30" s="8"/>
      <c r="D30" s="8"/>
      <c r="E30" s="8"/>
      <c r="F30" s="8"/>
      <c r="G30" s="8"/>
      <c r="H30" s="8"/>
      <c r="I30" s="8"/>
    </row>
    <row r="31" spans="1:9" ht="20" customHeight="1" x14ac:dyDescent="0.2">
      <c r="A31" s="1164" t="s">
        <v>346</v>
      </c>
      <c r="B31" s="1165"/>
      <c r="C31" s="1165"/>
      <c r="D31" s="1165"/>
      <c r="E31" s="1165"/>
      <c r="F31" s="1165"/>
      <c r="G31" s="1165"/>
      <c r="H31" s="1165"/>
      <c r="I31" s="1166"/>
    </row>
    <row r="32" spans="1:9" ht="20" customHeight="1" x14ac:dyDescent="0.2">
      <c r="A32" s="1170" t="s">
        <v>262</v>
      </c>
      <c r="B32" s="1171"/>
      <c r="C32" s="1171"/>
      <c r="D32" s="1171"/>
      <c r="E32" s="1171"/>
      <c r="F32" s="1171"/>
      <c r="G32" s="1171"/>
      <c r="H32" s="1171"/>
      <c r="I32" s="1172"/>
    </row>
    <row r="33" spans="1:9" ht="20" customHeight="1" thickBot="1" x14ac:dyDescent="0.25">
      <c r="A33" s="1188" t="s">
        <v>364</v>
      </c>
      <c r="B33" s="1189"/>
      <c r="C33" s="1189"/>
      <c r="D33" s="1189"/>
      <c r="E33" s="1189"/>
      <c r="F33" s="1189"/>
      <c r="G33" s="1189"/>
      <c r="H33" s="1189"/>
      <c r="I33" s="1190"/>
    </row>
    <row r="34" spans="1:9" ht="24" customHeight="1" thickBot="1" x14ac:dyDescent="0.2">
      <c r="A34" s="1084" t="s">
        <v>104</v>
      </c>
      <c r="B34" s="1093" t="s">
        <v>4</v>
      </c>
      <c r="C34" s="1093"/>
      <c r="D34" s="1093"/>
      <c r="E34" s="1163"/>
      <c r="F34" s="1094" t="s">
        <v>5</v>
      </c>
      <c r="G34" s="1093"/>
      <c r="H34" s="1093"/>
      <c r="I34" s="1163"/>
    </row>
    <row r="35" spans="1:9" ht="24" customHeight="1" thickBot="1" x14ac:dyDescent="0.2">
      <c r="A35" s="1121"/>
      <c r="B35" s="510" t="s">
        <v>7</v>
      </c>
      <c r="C35" s="511" t="s">
        <v>8</v>
      </c>
      <c r="D35" s="510" t="s">
        <v>10</v>
      </c>
      <c r="E35" s="512" t="s">
        <v>9</v>
      </c>
      <c r="F35" s="513" t="s">
        <v>7</v>
      </c>
      <c r="G35" s="514" t="s">
        <v>8</v>
      </c>
      <c r="H35" s="439" t="s">
        <v>10</v>
      </c>
      <c r="I35" s="515" t="s">
        <v>9</v>
      </c>
    </row>
    <row r="36" spans="1:9" ht="15" customHeight="1" x14ac:dyDescent="0.15">
      <c r="A36" s="408">
        <v>1</v>
      </c>
      <c r="B36" s="502">
        <v>325</v>
      </c>
      <c r="C36" s="505">
        <v>575</v>
      </c>
      <c r="D36" s="502">
        <v>900</v>
      </c>
      <c r="E36" s="185">
        <v>1150</v>
      </c>
      <c r="F36" s="507">
        <v>375</v>
      </c>
      <c r="G36" s="189">
        <v>625</v>
      </c>
      <c r="H36" s="423">
        <v>1000</v>
      </c>
      <c r="I36" s="189">
        <v>1250</v>
      </c>
    </row>
    <row r="37" spans="1:9" ht="15" customHeight="1" x14ac:dyDescent="0.15">
      <c r="A37" s="409">
        <v>2</v>
      </c>
      <c r="B37" s="503">
        <v>275</v>
      </c>
      <c r="C37" s="505">
        <v>475</v>
      </c>
      <c r="D37" s="503">
        <v>750</v>
      </c>
      <c r="E37" s="185">
        <v>950</v>
      </c>
      <c r="F37" s="420">
        <v>325</v>
      </c>
      <c r="G37" s="211">
        <v>575</v>
      </c>
      <c r="H37" s="426">
        <v>900</v>
      </c>
      <c r="I37" s="211">
        <v>1150</v>
      </c>
    </row>
    <row r="38" spans="1:9" ht="15" customHeight="1" x14ac:dyDescent="0.15">
      <c r="A38" s="409">
        <v>3</v>
      </c>
      <c r="B38" s="503">
        <v>175</v>
      </c>
      <c r="C38" s="505">
        <v>325</v>
      </c>
      <c r="D38" s="503">
        <v>500</v>
      </c>
      <c r="E38" s="185">
        <v>625</v>
      </c>
      <c r="F38" s="420">
        <v>300</v>
      </c>
      <c r="G38" s="211">
        <v>525</v>
      </c>
      <c r="H38" s="426">
        <v>825</v>
      </c>
      <c r="I38" s="211">
        <v>1050</v>
      </c>
    </row>
    <row r="39" spans="1:9" ht="15" customHeight="1" thickBot="1" x14ac:dyDescent="0.2">
      <c r="A39" s="410">
        <v>4</v>
      </c>
      <c r="B39" s="504">
        <v>175</v>
      </c>
      <c r="C39" s="506">
        <v>325</v>
      </c>
      <c r="D39" s="504">
        <v>500</v>
      </c>
      <c r="E39" s="186">
        <v>625</v>
      </c>
      <c r="F39" s="428">
        <v>300</v>
      </c>
      <c r="G39" s="190">
        <v>525</v>
      </c>
      <c r="H39" s="424">
        <v>825</v>
      </c>
      <c r="I39" s="190">
        <v>1050</v>
      </c>
    </row>
    <row r="40" spans="1:9" ht="24" customHeight="1" thickBot="1" x14ac:dyDescent="0.2">
      <c r="A40" s="58"/>
      <c r="B40" s="58"/>
      <c r="C40" s="8"/>
      <c r="D40" s="8"/>
      <c r="E40" s="8"/>
      <c r="F40" s="8"/>
      <c r="G40" s="8"/>
      <c r="H40" s="8"/>
      <c r="I40" s="8"/>
    </row>
    <row r="41" spans="1:9" ht="20" customHeight="1" x14ac:dyDescent="0.2">
      <c r="A41" s="1056" t="s">
        <v>347</v>
      </c>
      <c r="B41" s="1146"/>
      <c r="C41" s="1146"/>
      <c r="D41" s="1146"/>
      <c r="E41" s="1146"/>
      <c r="F41" s="1146"/>
      <c r="G41" s="1147"/>
      <c r="H41" s="64"/>
      <c r="I41" s="7"/>
    </row>
    <row r="42" spans="1:9" ht="20" customHeight="1" thickBot="1" x14ac:dyDescent="0.25">
      <c r="A42" s="1066" t="s">
        <v>365</v>
      </c>
      <c r="B42" s="1067"/>
      <c r="C42" s="1067"/>
      <c r="D42" s="1067"/>
      <c r="E42" s="1067"/>
      <c r="F42" s="1067"/>
      <c r="G42" s="1068"/>
      <c r="H42" s="64"/>
      <c r="I42" s="7"/>
    </row>
    <row r="43" spans="1:9" ht="13" customHeight="1" x14ac:dyDescent="0.15">
      <c r="A43" s="1083" t="s">
        <v>0</v>
      </c>
      <c r="B43" s="1054" t="s">
        <v>138</v>
      </c>
      <c r="C43" s="1116"/>
      <c r="D43" s="1054" t="s">
        <v>398</v>
      </c>
      <c r="E43" s="1055"/>
      <c r="F43" s="1054" t="s">
        <v>303</v>
      </c>
      <c r="G43" s="1116"/>
      <c r="H43" s="46"/>
      <c r="I43" s="7"/>
    </row>
    <row r="44" spans="1:9" ht="14" customHeight="1" thickBot="1" x14ac:dyDescent="0.2">
      <c r="A44" s="1121"/>
      <c r="B44" s="1125">
        <f>$D$19</f>
        <v>40999</v>
      </c>
      <c r="C44" s="1117"/>
      <c r="D44" s="1125" t="str">
        <f>'Løntabel gældende fra'!$D$1</f>
        <v>01/04/2018</v>
      </c>
      <c r="E44" s="1092"/>
      <c r="F44" s="1125" t="str">
        <f>'Løntabel gældende fra'!$D$1</f>
        <v>01/04/2018</v>
      </c>
      <c r="G44" s="1117"/>
      <c r="H44" s="46"/>
      <c r="I44" s="7"/>
    </row>
    <row r="45" spans="1:9" ht="15" customHeight="1" x14ac:dyDescent="0.15">
      <c r="A45" s="408">
        <v>1</v>
      </c>
      <c r="B45" s="1148">
        <v>5200</v>
      </c>
      <c r="C45" s="1148"/>
      <c r="D45" s="1173">
        <f>B45+(B45*'Løntabel gældende fra'!$D$7%)</f>
        <v>5562.3516</v>
      </c>
      <c r="E45" s="1174"/>
      <c r="F45" s="1206">
        <f>D45/12</f>
        <v>463.52929999999998</v>
      </c>
      <c r="G45" s="1207"/>
      <c r="H45" s="10"/>
      <c r="I45" s="7"/>
    </row>
    <row r="46" spans="1:9" ht="15" customHeight="1" x14ac:dyDescent="0.15">
      <c r="A46" s="409">
        <v>2</v>
      </c>
      <c r="B46" s="1059">
        <v>7900</v>
      </c>
      <c r="C46" s="1059"/>
      <c r="D46" s="1224">
        <f>B46+(B46*'Løntabel gældende fra'!$D$7%)</f>
        <v>8450.4956999999995</v>
      </c>
      <c r="E46" s="1149"/>
      <c r="F46" s="1060">
        <f>D46/12</f>
        <v>704.20797499999992</v>
      </c>
      <c r="G46" s="1061"/>
      <c r="H46" s="10"/>
      <c r="I46" s="7"/>
    </row>
    <row r="47" spans="1:9" ht="15" customHeight="1" thickBot="1" x14ac:dyDescent="0.2">
      <c r="A47" s="410">
        <v>3</v>
      </c>
      <c r="B47" s="1183">
        <v>7900</v>
      </c>
      <c r="C47" s="1183"/>
      <c r="D47" s="1220">
        <f>B47+(B47*'Løntabel gældende fra'!$D$7%)</f>
        <v>8450.4956999999995</v>
      </c>
      <c r="E47" s="1221"/>
      <c r="F47" s="1184">
        <f>D47/12</f>
        <v>704.20797499999992</v>
      </c>
      <c r="G47" s="1185"/>
      <c r="H47" s="10"/>
      <c r="I47" s="7"/>
    </row>
    <row r="48" spans="1:9" s="63" customFormat="1" ht="24" customHeight="1" thickBot="1" x14ac:dyDescent="0.2">
      <c r="A48" s="46"/>
      <c r="B48" s="60"/>
      <c r="C48" s="46"/>
      <c r="D48" s="61"/>
      <c r="E48" s="46"/>
      <c r="F48" s="61"/>
      <c r="G48" s="46"/>
      <c r="H48" s="46"/>
      <c r="I48" s="62"/>
    </row>
    <row r="49" spans="1:17" ht="20" customHeight="1" x14ac:dyDescent="0.15">
      <c r="A49" s="1056" t="s">
        <v>348</v>
      </c>
      <c r="B49" s="1057"/>
      <c r="C49" s="1057"/>
      <c r="D49" s="1057"/>
      <c r="E49" s="1057"/>
      <c r="F49" s="1057"/>
      <c r="G49" s="1058"/>
      <c r="H49" s="65"/>
      <c r="K49" s="16"/>
      <c r="L49" s="16"/>
      <c r="M49" s="16"/>
      <c r="N49" s="16"/>
      <c r="O49" s="16"/>
      <c r="P49" s="16"/>
      <c r="Q49" s="16"/>
    </row>
    <row r="50" spans="1:17" ht="20" customHeight="1" thickBot="1" x14ac:dyDescent="0.2">
      <c r="A50" s="1066" t="s">
        <v>366</v>
      </c>
      <c r="B50" s="1067"/>
      <c r="C50" s="1067"/>
      <c r="D50" s="1067"/>
      <c r="E50" s="1067"/>
      <c r="F50" s="1067"/>
      <c r="G50" s="1068"/>
      <c r="H50" s="65"/>
      <c r="K50" s="16"/>
      <c r="L50" s="16"/>
      <c r="M50" s="16"/>
      <c r="N50" s="16"/>
      <c r="O50" s="16"/>
      <c r="P50" s="16"/>
      <c r="Q50" s="16"/>
    </row>
    <row r="51" spans="1:17" ht="16" customHeight="1" x14ac:dyDescent="0.15">
      <c r="A51" s="1083" t="s">
        <v>0</v>
      </c>
      <c r="B51" s="1062" t="s">
        <v>138</v>
      </c>
      <c r="C51" s="1063"/>
      <c r="D51" s="1062" t="s">
        <v>398</v>
      </c>
      <c r="E51" s="1063"/>
      <c r="F51" s="1062" t="s">
        <v>303</v>
      </c>
      <c r="G51" s="1063"/>
      <c r="H51" s="46"/>
      <c r="K51" s="16"/>
      <c r="L51" s="16"/>
      <c r="M51" s="16"/>
      <c r="N51" s="16"/>
      <c r="O51" s="16"/>
      <c r="P51" s="16"/>
      <c r="Q51" s="16"/>
    </row>
    <row r="52" spans="1:17" ht="16" customHeight="1" thickBot="1" x14ac:dyDescent="0.2">
      <c r="A52" s="1084"/>
      <c r="B52" s="1064">
        <f>C9</f>
        <v>40999</v>
      </c>
      <c r="C52" s="1065"/>
      <c r="D52" s="1186" t="str">
        <f>'Løntabel gældende fra'!D1</f>
        <v>01/04/2018</v>
      </c>
      <c r="E52" s="1065"/>
      <c r="F52" s="1186" t="str">
        <f>'Løntabel gældende fra'!D1</f>
        <v>01/04/2018</v>
      </c>
      <c r="G52" s="1065"/>
      <c r="H52" s="46"/>
      <c r="K52" s="16"/>
      <c r="L52" s="16"/>
      <c r="M52" s="16"/>
      <c r="N52" s="16"/>
      <c r="O52" s="16"/>
      <c r="P52" s="16"/>
      <c r="Q52" s="16"/>
    </row>
    <row r="53" spans="1:17" ht="15" customHeight="1" x14ac:dyDescent="0.15">
      <c r="A53" s="408">
        <v>1</v>
      </c>
      <c r="B53" s="1187">
        <v>2800</v>
      </c>
      <c r="C53" s="1187"/>
      <c r="D53" s="1052">
        <f>B53+(B53*'Løntabel gældende fra'!$D$7%)</f>
        <v>2995.1124</v>
      </c>
      <c r="E53" s="1053"/>
      <c r="F53" s="1187">
        <f>D53/12</f>
        <v>249.59270000000001</v>
      </c>
      <c r="G53" s="1174"/>
      <c r="H53" s="10"/>
      <c r="K53" s="16"/>
      <c r="L53" s="16"/>
      <c r="M53" s="16"/>
      <c r="N53" s="16"/>
      <c r="O53" s="16"/>
      <c r="P53" s="16"/>
      <c r="Q53" s="16"/>
    </row>
    <row r="54" spans="1:17" ht="15" customHeight="1" x14ac:dyDescent="0.15">
      <c r="A54" s="409">
        <v>2</v>
      </c>
      <c r="B54" s="1059">
        <v>2800</v>
      </c>
      <c r="C54" s="1059"/>
      <c r="D54" s="1060">
        <f>B54+(B54*'Løntabel gældende fra'!$D$7%)</f>
        <v>2995.1124</v>
      </c>
      <c r="E54" s="1061"/>
      <c r="F54" s="1148">
        <f>D54/12</f>
        <v>249.59270000000001</v>
      </c>
      <c r="G54" s="1149"/>
      <c r="H54" s="10"/>
      <c r="K54" s="16"/>
      <c r="L54" s="16"/>
      <c r="M54" s="16"/>
      <c r="N54" s="16"/>
      <c r="O54" s="16"/>
      <c r="P54" s="16"/>
      <c r="Q54" s="16"/>
    </row>
    <row r="55" spans="1:17" ht="15" customHeight="1" x14ac:dyDescent="0.15">
      <c r="A55" s="411">
        <v>3</v>
      </c>
      <c r="B55" s="1059">
        <v>2800</v>
      </c>
      <c r="C55" s="1059"/>
      <c r="D55" s="1060">
        <f>B55+(B55*'Løntabel gældende fra'!$D$7%)</f>
        <v>2995.1124</v>
      </c>
      <c r="E55" s="1061"/>
      <c r="F55" s="1148">
        <f>D55/12</f>
        <v>249.59270000000001</v>
      </c>
      <c r="G55" s="1149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 x14ac:dyDescent="0.2">
      <c r="A56" s="410">
        <v>4</v>
      </c>
      <c r="B56" s="1183">
        <v>2800</v>
      </c>
      <c r="C56" s="1183"/>
      <c r="D56" s="1184">
        <f>B56+(B56*'Løntabel gældende fra'!$D$7%)</f>
        <v>2995.1124</v>
      </c>
      <c r="E56" s="1185"/>
      <c r="F56" s="1183">
        <f>D56/12</f>
        <v>249.59270000000001</v>
      </c>
      <c r="G56" s="1221"/>
      <c r="H56" s="10"/>
      <c r="K56" s="16"/>
      <c r="L56" s="16"/>
      <c r="M56" s="16"/>
      <c r="N56" s="16"/>
      <c r="O56" s="16"/>
      <c r="P56" s="16"/>
      <c r="Q56" s="16"/>
    </row>
    <row r="57" spans="1:17" ht="25" customHeight="1" thickBot="1" x14ac:dyDescent="0.2">
      <c r="A57" s="46"/>
      <c r="B57" s="48"/>
      <c r="C57" s="48"/>
      <c r="D57" s="48"/>
      <c r="E57" s="48"/>
      <c r="F57" s="49"/>
      <c r="G57" s="49"/>
      <c r="H57" s="49"/>
      <c r="K57" s="16"/>
      <c r="L57" s="16"/>
      <c r="M57" s="16"/>
      <c r="N57" s="16"/>
      <c r="O57" s="16"/>
      <c r="P57" s="16"/>
      <c r="Q57" s="16"/>
    </row>
    <row r="58" spans="1:17" ht="20" customHeight="1" x14ac:dyDescent="0.15">
      <c r="A58" s="1076" t="s">
        <v>350</v>
      </c>
      <c r="B58" s="1077"/>
      <c r="C58" s="1077"/>
      <c r="D58" s="1077"/>
      <c r="E58" s="1077"/>
      <c r="F58" s="1077"/>
      <c r="G58" s="1077"/>
      <c r="H58" s="1077"/>
      <c r="I58" s="1078"/>
    </row>
    <row r="59" spans="1:17" ht="20" customHeight="1" thickBot="1" x14ac:dyDescent="0.2">
      <c r="A59" s="1167" t="s">
        <v>367</v>
      </c>
      <c r="B59" s="1168"/>
      <c r="C59" s="1168"/>
      <c r="D59" s="1168"/>
      <c r="E59" s="1168"/>
      <c r="F59" s="1168"/>
      <c r="G59" s="1168"/>
      <c r="H59" s="1168"/>
      <c r="I59" s="1169"/>
    </row>
    <row r="60" spans="1:17" ht="28" customHeight="1" x14ac:dyDescent="0.15">
      <c r="A60" s="1041" t="s">
        <v>323</v>
      </c>
      <c r="B60" s="1042"/>
      <c r="C60" s="1042"/>
      <c r="D60" s="1042"/>
      <c r="E60" s="1042"/>
      <c r="F60" s="1043"/>
      <c r="G60" s="391" t="s">
        <v>138</v>
      </c>
      <c r="H60" s="391" t="s">
        <v>103</v>
      </c>
      <c r="I60" s="793" t="s">
        <v>303</v>
      </c>
    </row>
    <row r="61" spans="1:17" ht="15" customHeight="1" thickBot="1" x14ac:dyDescent="0.2">
      <c r="A61" s="1041"/>
      <c r="B61" s="1042"/>
      <c r="C61" s="1042"/>
      <c r="D61" s="1042"/>
      <c r="E61" s="1042"/>
      <c r="F61" s="1043"/>
      <c r="G61" s="392">
        <f>C9</f>
        <v>40999</v>
      </c>
      <c r="H61" s="392">
        <f>C9</f>
        <v>40999</v>
      </c>
      <c r="I61" s="392" t="str">
        <f>'Løntabel gældende fra'!$D$1</f>
        <v>01/04/2018</v>
      </c>
    </row>
    <row r="62" spans="1:17" ht="15" customHeight="1" thickBot="1" x14ac:dyDescent="0.2">
      <c r="A62" s="1044"/>
      <c r="B62" s="1045"/>
      <c r="C62" s="1045"/>
      <c r="D62" s="1045"/>
      <c r="E62" s="1045"/>
      <c r="F62" s="1046"/>
      <c r="G62" s="187">
        <v>19300</v>
      </c>
      <c r="H62" s="187">
        <f>G62/12</f>
        <v>1608.3333333333333</v>
      </c>
      <c r="I62" s="188">
        <f>H62+(H62*'Løntabel gældende fra'!$D$7%)</f>
        <v>1720.406825</v>
      </c>
    </row>
    <row r="63" spans="1:17" ht="24" customHeight="1" thickBot="1" x14ac:dyDescent="0.2">
      <c r="A63" s="7"/>
      <c r="B63" s="7"/>
      <c r="C63" s="7" t="s">
        <v>17</v>
      </c>
      <c r="D63" s="7"/>
      <c r="E63" s="7"/>
      <c r="F63" s="7"/>
      <c r="G63" s="7"/>
      <c r="H63" s="7"/>
      <c r="I63" s="7"/>
    </row>
    <row r="64" spans="1:17" ht="20" customHeight="1" x14ac:dyDescent="0.15">
      <c r="A64" s="1076" t="s">
        <v>352</v>
      </c>
      <c r="B64" s="1077"/>
      <c r="C64" s="1077"/>
      <c r="D64" s="1077"/>
      <c r="E64" s="1077"/>
      <c r="F64" s="1077"/>
      <c r="G64" s="1077"/>
      <c r="H64" s="1077"/>
      <c r="I64" s="1078"/>
    </row>
    <row r="65" spans="1:17" ht="20" customHeight="1" thickBot="1" x14ac:dyDescent="0.2">
      <c r="A65" s="1167" t="s">
        <v>351</v>
      </c>
      <c r="B65" s="1168"/>
      <c r="C65" s="1168"/>
      <c r="D65" s="1168"/>
      <c r="E65" s="1168"/>
      <c r="F65" s="1168"/>
      <c r="G65" s="1168"/>
      <c r="H65" s="1168"/>
      <c r="I65" s="1169"/>
    </row>
    <row r="66" spans="1:17" ht="28" customHeight="1" x14ac:dyDescent="0.15">
      <c r="A66" s="1214" t="s">
        <v>353</v>
      </c>
      <c r="B66" s="1215"/>
      <c r="C66" s="1215"/>
      <c r="D66" s="1215"/>
      <c r="E66" s="1215"/>
      <c r="F66" s="1215"/>
      <c r="G66" s="1216"/>
      <c r="H66" s="484" t="s">
        <v>399</v>
      </c>
      <c r="I66" s="792" t="s">
        <v>400</v>
      </c>
    </row>
    <row r="67" spans="1:17" ht="15" customHeight="1" thickBot="1" x14ac:dyDescent="0.2">
      <c r="A67" s="1217"/>
      <c r="B67" s="1218"/>
      <c r="C67" s="1218"/>
      <c r="D67" s="1218"/>
      <c r="E67" s="1218"/>
      <c r="F67" s="1218"/>
      <c r="G67" s="1219"/>
      <c r="H67" s="392">
        <f>C9</f>
        <v>40999</v>
      </c>
      <c r="I67" s="392" t="str">
        <f>'Løntabel gældende fra'!$D$1</f>
        <v>01/04/2018</v>
      </c>
    </row>
    <row r="68" spans="1:17" ht="15" customHeight="1" thickBot="1" x14ac:dyDescent="0.2">
      <c r="A68" s="1202" t="s">
        <v>14</v>
      </c>
      <c r="B68" s="1203"/>
      <c r="C68" s="1203"/>
      <c r="D68" s="1203"/>
      <c r="E68" s="1203"/>
      <c r="F68" s="1203"/>
      <c r="G68" s="1203"/>
      <c r="H68" s="191">
        <v>19</v>
      </c>
      <c r="I68" s="192">
        <f>H68+H68*'Løntabel gældende fra'!$D$7%</f>
        <v>20.323976999999999</v>
      </c>
    </row>
    <row r="69" spans="1:17" ht="24" customHeight="1" thickBot="1" x14ac:dyDescent="0.2">
      <c r="A69" s="7"/>
      <c r="B69" s="7"/>
      <c r="C69" s="7"/>
      <c r="D69" s="7"/>
      <c r="E69" s="7"/>
      <c r="F69" s="7"/>
      <c r="G69" s="7"/>
      <c r="H69" s="7"/>
      <c r="I69" s="7"/>
    </row>
    <row r="70" spans="1:17" ht="20" customHeight="1" x14ac:dyDescent="0.15">
      <c r="A70" s="1076" t="s">
        <v>354</v>
      </c>
      <c r="B70" s="1077"/>
      <c r="C70" s="1077"/>
      <c r="D70" s="1077"/>
      <c r="E70" s="1077"/>
      <c r="F70" s="1077"/>
      <c r="G70" s="1077"/>
      <c r="H70" s="1077"/>
      <c r="I70" s="1078"/>
    </row>
    <row r="71" spans="1:17" ht="20" customHeight="1" thickBot="1" x14ac:dyDescent="0.2">
      <c r="A71" s="1167" t="s">
        <v>351</v>
      </c>
      <c r="B71" s="1168"/>
      <c r="C71" s="1168"/>
      <c r="D71" s="1168"/>
      <c r="E71" s="1168"/>
      <c r="F71" s="1168"/>
      <c r="G71" s="1168"/>
      <c r="H71" s="1168"/>
      <c r="I71" s="1169"/>
    </row>
    <row r="72" spans="1:17" ht="13" customHeight="1" x14ac:dyDescent="0.15">
      <c r="A72" s="1191" t="s">
        <v>16</v>
      </c>
      <c r="B72" s="1192"/>
      <c r="C72" s="1192"/>
      <c r="D72" s="1192"/>
      <c r="E72" s="1192"/>
      <c r="F72" s="1192"/>
      <c r="G72" s="1193"/>
      <c r="H72" s="393" t="s">
        <v>100</v>
      </c>
      <c r="I72" s="394" t="s">
        <v>105</v>
      </c>
    </row>
    <row r="73" spans="1:17" ht="15" customHeight="1" thickBot="1" x14ac:dyDescent="0.2">
      <c r="A73" s="1194"/>
      <c r="B73" s="1195"/>
      <c r="C73" s="1195"/>
      <c r="D73" s="1195"/>
      <c r="E73" s="1195"/>
      <c r="F73" s="1195"/>
      <c r="G73" s="1196"/>
      <c r="H73" s="395">
        <f>C9</f>
        <v>40999</v>
      </c>
      <c r="I73" s="392" t="str">
        <f>'Løntabel gældende fra'!$D$1</f>
        <v>01/04/2018</v>
      </c>
    </row>
    <row r="74" spans="1:17" ht="15" customHeight="1" x14ac:dyDescent="0.15">
      <c r="A74" s="1197" t="s">
        <v>19</v>
      </c>
      <c r="B74" s="1198"/>
      <c r="C74" s="1198"/>
      <c r="D74" s="1198"/>
      <c r="E74" s="1198"/>
      <c r="F74" s="1198"/>
      <c r="G74" s="1198"/>
      <c r="H74" s="229">
        <v>6.59</v>
      </c>
      <c r="I74" s="230">
        <f>H74+H74*'Løntabel gældende fra'!$D$7%</f>
        <v>7.0492109699999999</v>
      </c>
    </row>
    <row r="75" spans="1:17" ht="15" customHeight="1" thickBot="1" x14ac:dyDescent="0.2">
      <c r="A75" s="1199" t="s">
        <v>18</v>
      </c>
      <c r="B75" s="1200"/>
      <c r="C75" s="1200"/>
      <c r="D75" s="1200"/>
      <c r="E75" s="1200"/>
      <c r="F75" s="1200"/>
      <c r="G75" s="1200"/>
      <c r="H75" s="209">
        <v>61.22</v>
      </c>
      <c r="I75" s="231">
        <f>H75+H75*'Løntabel gældende fra'!$D$7%</f>
        <v>65.485993260000001</v>
      </c>
    </row>
    <row r="76" spans="1:17" ht="37" customHeight="1" thickBot="1" x14ac:dyDescent="0.2">
      <c r="A76" s="1073" t="s">
        <v>409</v>
      </c>
      <c r="B76" s="1074"/>
      <c r="C76" s="1074"/>
      <c r="D76" s="1074"/>
      <c r="E76" s="1074"/>
      <c r="F76" s="1074"/>
      <c r="G76" s="1074"/>
      <c r="H76" s="1074"/>
      <c r="I76" s="1075"/>
      <c r="K76" s="16"/>
      <c r="L76" s="16"/>
      <c r="M76" s="16"/>
      <c r="N76" s="16"/>
      <c r="O76" s="16"/>
      <c r="P76" s="16"/>
      <c r="Q76" s="16"/>
    </row>
    <row r="77" spans="1:17" ht="27.75" customHeight="1" thickBot="1" x14ac:dyDescent="0.2">
      <c r="A77" s="1073" t="s">
        <v>410</v>
      </c>
      <c r="B77" s="1074"/>
      <c r="C77" s="1074"/>
      <c r="D77" s="1074"/>
      <c r="E77" s="1074"/>
      <c r="F77" s="1074"/>
      <c r="G77" s="1074"/>
      <c r="H77" s="1074"/>
      <c r="I77" s="1075"/>
      <c r="K77" s="16"/>
      <c r="L77" s="16"/>
      <c r="M77" s="16"/>
      <c r="N77" s="16"/>
      <c r="O77" s="16"/>
      <c r="P77" s="16"/>
      <c r="Q77" s="16"/>
    </row>
    <row r="78" spans="1:17" ht="16.5" customHeight="1" thickBot="1" x14ac:dyDescent="0.2">
      <c r="A78" s="75"/>
      <c r="B78" s="75"/>
      <c r="C78" s="75"/>
      <c r="D78" s="75"/>
      <c r="E78" s="75"/>
      <c r="F78" s="75"/>
      <c r="G78" s="75"/>
      <c r="H78" s="75"/>
      <c r="I78" s="75"/>
      <c r="K78" s="16"/>
      <c r="L78" s="16"/>
      <c r="M78" s="16"/>
      <c r="N78" s="16"/>
      <c r="O78" s="16"/>
      <c r="P78" s="16"/>
      <c r="Q78" s="16"/>
    </row>
    <row r="79" spans="1:17" customFormat="1" ht="24" customHeight="1" thickBot="1" x14ac:dyDescent="0.25">
      <c r="A79" s="1099" t="s">
        <v>71</v>
      </c>
      <c r="B79" s="1100"/>
      <c r="C79" s="1100"/>
      <c r="D79" s="1100"/>
      <c r="E79" s="1100"/>
      <c r="F79" s="1100"/>
      <c r="G79" s="1110"/>
      <c r="H79" s="64"/>
    </row>
    <row r="80" spans="1:17" customFormat="1" ht="24" customHeight="1" thickBot="1" x14ac:dyDescent="0.25">
      <c r="A80" s="1208" t="s">
        <v>72</v>
      </c>
      <c r="B80" s="1209"/>
      <c r="C80" s="1210"/>
      <c r="D80" s="1176">
        <v>40999</v>
      </c>
      <c r="E80" s="1177"/>
      <c r="F80" s="1177" t="str">
        <f>'Løntabel gældende fra'!$D$1</f>
        <v>01/04/2018</v>
      </c>
      <c r="G80" s="1205"/>
      <c r="H80" s="66"/>
    </row>
    <row r="81" spans="1:22" s="668" customFormat="1" ht="24" customHeight="1" thickBot="1" x14ac:dyDescent="0.25">
      <c r="A81" s="1211"/>
      <c r="B81" s="1212"/>
      <c r="C81" s="1213"/>
      <c r="D81" s="1114" t="s">
        <v>355</v>
      </c>
      <c r="E81" s="1115"/>
      <c r="F81" s="1114" t="s">
        <v>355</v>
      </c>
      <c r="G81" s="1115"/>
      <c r="H81" s="669"/>
      <c r="I81" s="669"/>
      <c r="J81" s="669"/>
      <c r="K81" s="669"/>
      <c r="L81" s="669"/>
      <c r="M81" s="669"/>
      <c r="N81" s="669"/>
      <c r="O81" s="669"/>
      <c r="P81" s="669"/>
      <c r="Q81" s="669"/>
      <c r="R81" s="669"/>
      <c r="S81" s="669"/>
      <c r="T81" s="669"/>
      <c r="U81" s="669"/>
      <c r="V81" s="669"/>
    </row>
    <row r="82" spans="1:22" customFormat="1" ht="15" customHeight="1" x14ac:dyDescent="0.2">
      <c r="A82" s="193" t="s">
        <v>73</v>
      </c>
      <c r="B82" s="194"/>
      <c r="C82" s="195"/>
      <c r="D82" s="196">
        <v>236</v>
      </c>
      <c r="E82" s="196">
        <v>334</v>
      </c>
      <c r="F82" s="670">
        <f>D82+D82*'Løntabel gældende fra'!$D$7%</f>
        <v>252.445188</v>
      </c>
      <c r="G82" s="671">
        <f>E82+E82*'Løntabel gældende fra'!$D$7%</f>
        <v>357.27412199999998</v>
      </c>
      <c r="H82" s="59"/>
    </row>
    <row r="83" spans="1:22" customFormat="1" ht="15" customHeight="1" thickBot="1" x14ac:dyDescent="0.25">
      <c r="A83" s="144" t="s">
        <v>75</v>
      </c>
      <c r="B83" s="145"/>
      <c r="C83" s="197"/>
      <c r="D83" s="198">
        <v>170</v>
      </c>
      <c r="E83" s="198">
        <v>269</v>
      </c>
      <c r="F83" s="199">
        <f>D83+D83*'Løntabel gældende fra'!$D$7%</f>
        <v>181.84611000000001</v>
      </c>
      <c r="G83" s="200">
        <f>E83+E83*'Løntabel gældende fra'!$D$7%</f>
        <v>287.74472700000001</v>
      </c>
      <c r="H83" s="59"/>
    </row>
    <row r="84" spans="1:22" customFormat="1" ht="24" customHeight="1" thickBot="1" x14ac:dyDescent="0.25">
      <c r="A84" s="1054" t="s">
        <v>74</v>
      </c>
      <c r="B84" s="1055"/>
      <c r="C84" s="1116"/>
      <c r="D84" s="1222">
        <f>D80</f>
        <v>40999</v>
      </c>
      <c r="E84" s="1223"/>
      <c r="F84" s="1204" t="str">
        <f>'Løntabel gældende fra'!$D$1</f>
        <v>01/04/2018</v>
      </c>
      <c r="G84" s="1205"/>
      <c r="H84" s="66"/>
    </row>
    <row r="85" spans="1:22" s="668" customFormat="1" ht="24" customHeight="1" thickBot="1" x14ac:dyDescent="0.25">
      <c r="A85" s="1091"/>
      <c r="B85" s="1092"/>
      <c r="C85" s="1117"/>
      <c r="D85" s="1114" t="s">
        <v>355</v>
      </c>
      <c r="E85" s="1115"/>
      <c r="F85" s="1114" t="s">
        <v>355</v>
      </c>
      <c r="G85" s="1115"/>
      <c r="H85" s="669"/>
      <c r="I85" s="669"/>
      <c r="J85" s="669"/>
      <c r="K85" s="669"/>
      <c r="L85" s="669"/>
      <c r="M85" s="669"/>
      <c r="N85" s="669"/>
      <c r="O85" s="669"/>
      <c r="P85" s="669"/>
      <c r="Q85" s="669"/>
      <c r="R85" s="669"/>
      <c r="S85" s="669"/>
      <c r="T85" s="669"/>
      <c r="U85" s="669"/>
      <c r="V85" s="669"/>
    </row>
    <row r="86" spans="1:22" customFormat="1" ht="15" customHeight="1" x14ac:dyDescent="0.2">
      <c r="A86" s="193" t="s">
        <v>73</v>
      </c>
      <c r="B86" s="194"/>
      <c r="C86" s="195"/>
      <c r="D86" s="196">
        <v>203</v>
      </c>
      <c r="E86" s="196">
        <v>334</v>
      </c>
      <c r="F86" s="201">
        <f>D86+D86*'Løntabel gældende fra'!$D$7%</f>
        <v>217.14564899999999</v>
      </c>
      <c r="G86" s="202">
        <f>E86+E86*'Løntabel gældende fra'!$D$7%</f>
        <v>357.27412199999998</v>
      </c>
      <c r="H86" s="59"/>
    </row>
    <row r="87" spans="1:22" customFormat="1" ht="15" customHeight="1" thickBot="1" x14ac:dyDescent="0.25">
      <c r="A87" s="659" t="s">
        <v>75</v>
      </c>
      <c r="B87" s="660"/>
      <c r="C87" s="661"/>
      <c r="D87" s="203">
        <v>138</v>
      </c>
      <c r="E87" s="203">
        <v>269</v>
      </c>
      <c r="F87" s="204">
        <f>D87+D87*'Løntabel gældende fra'!$D$7%</f>
        <v>147.616254</v>
      </c>
      <c r="G87" s="205">
        <f>E87+E87*'Løntabel gældende fra'!$D$7%</f>
        <v>287.74472700000001</v>
      </c>
      <c r="H87" s="59"/>
    </row>
    <row r="88" spans="1:22" ht="24" customHeight="1" thickBot="1" x14ac:dyDescent="0.2">
      <c r="A88" s="7"/>
      <c r="B88" s="7"/>
      <c r="C88" s="7"/>
      <c r="D88" s="7"/>
      <c r="E88" s="7"/>
      <c r="F88" s="7"/>
      <c r="G88" s="7"/>
      <c r="H88" s="7"/>
      <c r="I88" s="7"/>
    </row>
    <row r="89" spans="1:22" customFormat="1" ht="24" customHeight="1" thickBot="1" x14ac:dyDescent="0.25">
      <c r="A89" s="1099" t="s">
        <v>62</v>
      </c>
      <c r="B89" s="1100"/>
      <c r="C89" s="1100"/>
      <c r="D89" s="1100"/>
      <c r="E89" s="1100"/>
      <c r="F89" s="1100"/>
      <c r="G89" s="1110"/>
    </row>
    <row r="90" spans="1:22" customFormat="1" ht="16" thickBot="1" x14ac:dyDescent="0.25">
      <c r="A90" s="206"/>
      <c r="B90" s="207"/>
      <c r="C90" s="208"/>
      <c r="D90" s="1101">
        <v>40999</v>
      </c>
      <c r="E90" s="1102"/>
      <c r="F90" s="1081" t="str">
        <f>'Løntabel gældende fra'!$D$1</f>
        <v>01/04/2018</v>
      </c>
      <c r="G90" s="1082"/>
    </row>
    <row r="91" spans="1:22" customFormat="1" ht="16" thickBot="1" x14ac:dyDescent="0.25">
      <c r="A91" s="1178" t="s">
        <v>63</v>
      </c>
      <c r="B91" s="1179"/>
      <c r="C91" s="1179"/>
      <c r="D91" s="1105">
        <v>43.25</v>
      </c>
      <c r="E91" s="1106"/>
      <c r="F91" s="1050">
        <f>D91+D91*'Løntabel gældende fra'!$D$7%</f>
        <v>46.263789750000001</v>
      </c>
      <c r="G91" s="1051"/>
    </row>
    <row r="92" spans="1:22" customFormat="1" ht="42" customHeight="1" x14ac:dyDescent="0.2">
      <c r="A92" s="1047" t="s">
        <v>239</v>
      </c>
      <c r="B92" s="1048"/>
      <c r="C92" s="1049"/>
      <c r="D92" s="1105">
        <v>9.17</v>
      </c>
      <c r="E92" s="1106"/>
      <c r="F92" s="1050">
        <f>D92+D92*'Løntabel gældende fra'!$D$7%</f>
        <v>9.8089931099999994</v>
      </c>
      <c r="G92" s="1051"/>
    </row>
    <row r="93" spans="1:22" customFormat="1" ht="16" thickBot="1" x14ac:dyDescent="0.25">
      <c r="A93" s="71" t="s">
        <v>64</v>
      </c>
      <c r="B93" s="72"/>
      <c r="C93" s="72"/>
      <c r="D93" s="1103">
        <v>4587.3100000000004</v>
      </c>
      <c r="E93" s="1104"/>
      <c r="F93" s="1079">
        <f>D93+D93*'Løntabel gældende fra'!$D$7%</f>
        <v>4906.9675227300004</v>
      </c>
      <c r="G93" s="1080"/>
    </row>
    <row r="94" spans="1:22" customFormat="1" ht="15" x14ac:dyDescent="0.2">
      <c r="A94" s="82"/>
      <c r="B94" s="82"/>
      <c r="C94" s="82"/>
      <c r="D94" s="61"/>
      <c r="E94" s="107"/>
      <c r="F94" s="59"/>
      <c r="G94" s="59"/>
    </row>
    <row r="95" spans="1:22" ht="12" customHeight="1" thickBot="1" x14ac:dyDescent="0.25">
      <c r="A95" s="108"/>
      <c r="B95" s="109"/>
      <c r="C95" s="109"/>
      <c r="D95" s="109"/>
      <c r="E95" s="109"/>
      <c r="F95" s="59"/>
      <c r="G95" s="59"/>
      <c r="H95" s="7"/>
      <c r="I95" s="7"/>
    </row>
    <row r="96" spans="1:22" ht="20.25" customHeight="1" x14ac:dyDescent="0.15">
      <c r="A96" s="1107" t="s">
        <v>92</v>
      </c>
      <c r="B96" s="1108"/>
      <c r="C96" s="1108"/>
      <c r="D96" s="1108"/>
      <c r="E96" s="1108"/>
      <c r="F96" s="1108"/>
      <c r="G96" s="1108"/>
      <c r="H96" s="1108"/>
      <c r="I96" s="1109"/>
    </row>
    <row r="97" spans="1:15" ht="21" thickBot="1" x14ac:dyDescent="0.25">
      <c r="A97" s="1111" t="str">
        <f>'Løntabel gældende fra'!$D$1</f>
        <v>01/04/2018</v>
      </c>
      <c r="B97" s="1112"/>
      <c r="C97" s="1112"/>
      <c r="D97" s="1112"/>
      <c r="E97" s="1112"/>
      <c r="F97" s="1112"/>
      <c r="G97" s="1112"/>
      <c r="H97" s="1112"/>
      <c r="I97" s="1113"/>
    </row>
    <row r="98" spans="1:15" ht="18" customHeight="1" thickBot="1" x14ac:dyDescent="0.2">
      <c r="A98" s="1099" t="s">
        <v>90</v>
      </c>
      <c r="B98" s="1100"/>
      <c r="C98" s="1100"/>
      <c r="D98" s="1100"/>
      <c r="E98" s="1100"/>
      <c r="F98" s="1077"/>
      <c r="G98" s="1077"/>
      <c r="H98" s="1077"/>
      <c r="I98" s="1078"/>
    </row>
    <row r="99" spans="1:15" ht="16" customHeight="1" x14ac:dyDescent="0.15">
      <c r="A99" s="1072" t="s">
        <v>0</v>
      </c>
      <c r="B99" s="1054" t="s">
        <v>21</v>
      </c>
      <c r="C99" s="1055"/>
      <c r="D99" s="1055"/>
      <c r="E99" s="1055"/>
      <c r="F99" s="1087" t="s">
        <v>487</v>
      </c>
      <c r="G99" s="1088"/>
      <c r="H99" s="1089">
        <v>0.17299999999999999</v>
      </c>
      <c r="I99" s="1090"/>
      <c r="J99" s="3"/>
      <c r="K99" s="3"/>
      <c r="L99" s="3"/>
      <c r="M99" s="4"/>
      <c r="N99" s="4"/>
      <c r="O99" s="4"/>
    </row>
    <row r="100" spans="1:15" ht="16" customHeight="1" thickBot="1" x14ac:dyDescent="0.2">
      <c r="A100" s="1072"/>
      <c r="B100" s="1091"/>
      <c r="C100" s="1092"/>
      <c r="D100" s="1092"/>
      <c r="E100" s="1092"/>
      <c r="F100" s="1232" t="s">
        <v>501</v>
      </c>
      <c r="G100" s="1233"/>
      <c r="H100" s="1233"/>
      <c r="I100" s="1234"/>
      <c r="J100" s="3"/>
      <c r="K100" s="3"/>
      <c r="L100" s="3"/>
      <c r="M100" s="4"/>
      <c r="N100" s="4"/>
      <c r="O100" s="4"/>
    </row>
    <row r="101" spans="1:15" x14ac:dyDescent="0.15">
      <c r="A101" s="184">
        <v>1</v>
      </c>
      <c r="B101" s="1173">
        <f>H10</f>
        <v>23763.720967000001</v>
      </c>
      <c r="C101" s="1187"/>
      <c r="D101" s="1187"/>
      <c r="E101" s="1174"/>
      <c r="F101" s="1173">
        <f>B101*$H$99</f>
        <v>4111.1237272910003</v>
      </c>
      <c r="G101" s="1187"/>
      <c r="H101" s="1187"/>
      <c r="I101" s="1174"/>
    </row>
    <row r="102" spans="1:15" x14ac:dyDescent="0.15">
      <c r="A102" s="104">
        <v>2</v>
      </c>
      <c r="B102" s="1229">
        <f>H11</f>
        <v>24932.08222375</v>
      </c>
      <c r="C102" s="1059"/>
      <c r="D102" s="1059"/>
      <c r="E102" s="1230"/>
      <c r="F102" s="1229">
        <f>B102*$H$99</f>
        <v>4313.2502247087496</v>
      </c>
      <c r="G102" s="1059"/>
      <c r="H102" s="1059"/>
      <c r="I102" s="1230"/>
    </row>
    <row r="103" spans="1:15" x14ac:dyDescent="0.15">
      <c r="A103" s="104">
        <v>3</v>
      </c>
      <c r="B103" s="1229">
        <f>H12</f>
        <v>25878.395117749998</v>
      </c>
      <c r="C103" s="1059"/>
      <c r="D103" s="1059"/>
      <c r="E103" s="1230"/>
      <c r="F103" s="1229">
        <f>B103*$H$99</f>
        <v>4476.9623553707497</v>
      </c>
      <c r="G103" s="1059"/>
      <c r="H103" s="1059"/>
      <c r="I103" s="1230"/>
    </row>
    <row r="104" spans="1:15" ht="15" customHeight="1" thickBot="1" x14ac:dyDescent="0.2">
      <c r="A104" s="105">
        <v>4</v>
      </c>
      <c r="B104" s="1220">
        <f>H13</f>
        <v>27549.150823499996</v>
      </c>
      <c r="C104" s="1183"/>
      <c r="D104" s="1183"/>
      <c r="E104" s="1221"/>
      <c r="F104" s="1220">
        <f>B104*$H$99</f>
        <v>4766.0030924654993</v>
      </c>
      <c r="G104" s="1183"/>
      <c r="H104" s="1183"/>
      <c r="I104" s="1221"/>
    </row>
    <row r="105" spans="1:15" ht="18" customHeight="1" thickBot="1" x14ac:dyDescent="0.2">
      <c r="A105" s="1076" t="s">
        <v>91</v>
      </c>
      <c r="B105" s="1077"/>
      <c r="C105" s="1077"/>
      <c r="D105" s="1077"/>
      <c r="E105" s="1077"/>
      <c r="F105" s="1077"/>
      <c r="G105" s="1077"/>
      <c r="H105" s="1077"/>
      <c r="I105" s="1078"/>
    </row>
    <row r="106" spans="1:15" ht="23" customHeight="1" x14ac:dyDescent="0.15">
      <c r="A106" s="1071" t="s">
        <v>0</v>
      </c>
      <c r="B106" s="1083" t="s">
        <v>146</v>
      </c>
      <c r="C106" s="1054" t="s">
        <v>24</v>
      </c>
      <c r="D106" s="1055"/>
      <c r="E106" s="1055"/>
      <c r="F106" s="1054" t="s">
        <v>25</v>
      </c>
      <c r="G106" s="1055"/>
      <c r="H106" s="1085" t="s">
        <v>95</v>
      </c>
      <c r="I106" s="1086"/>
    </row>
    <row r="107" spans="1:15" ht="22.5" customHeight="1" thickBot="1" x14ac:dyDescent="0.2">
      <c r="A107" s="1072"/>
      <c r="B107" s="1084"/>
      <c r="C107" s="1069">
        <f>B52</f>
        <v>40999</v>
      </c>
      <c r="D107" s="1070"/>
      <c r="E107" s="1070"/>
      <c r="F107" s="1069" t="str">
        <f>'Løntabel gældende fra'!$D$1</f>
        <v>01/04/2018</v>
      </c>
      <c r="G107" s="1070"/>
      <c r="H107" s="1128"/>
      <c r="I107" s="1130"/>
    </row>
    <row r="108" spans="1:15" ht="15" customHeight="1" thickBot="1" x14ac:dyDescent="0.2">
      <c r="A108" s="1072"/>
      <c r="B108" s="1084"/>
      <c r="C108" s="1085" t="s">
        <v>88</v>
      </c>
      <c r="D108" s="1086"/>
      <c r="E108" s="875" t="s">
        <v>89</v>
      </c>
      <c r="F108" s="875" t="s">
        <v>88</v>
      </c>
      <c r="G108" s="877" t="s">
        <v>89</v>
      </c>
      <c r="H108" s="1237">
        <v>0.15</v>
      </c>
      <c r="I108" s="1238"/>
    </row>
    <row r="109" spans="1:15" x14ac:dyDescent="0.15">
      <c r="A109" s="159">
        <v>1</v>
      </c>
      <c r="B109" s="433">
        <v>21</v>
      </c>
      <c r="C109" s="1052">
        <f>+'Statens skalatrin'!N66</f>
        <v>241583.32</v>
      </c>
      <c r="D109" s="1053"/>
      <c r="E109" s="874">
        <f>C109/12</f>
        <v>20131.943333333333</v>
      </c>
      <c r="F109" s="241">
        <f>ROUND(C109*(1+'Løntabel gældende fra'!$D$7/100),0)</f>
        <v>258418</v>
      </c>
      <c r="G109" s="873">
        <f>F109/12</f>
        <v>21534.833333333332</v>
      </c>
      <c r="H109" s="1206">
        <f t="shared" ref="H109:H122" si="1">G109*$H$108</f>
        <v>3230.2249999999999</v>
      </c>
      <c r="I109" s="1207"/>
      <c r="J109" s="50"/>
    </row>
    <row r="110" spans="1:15" x14ac:dyDescent="0.15">
      <c r="A110" s="881">
        <v>1</v>
      </c>
      <c r="B110" s="882">
        <v>23</v>
      </c>
      <c r="C110" s="1060">
        <f>+'Statens skalatrin'!N72</f>
        <v>250472.55</v>
      </c>
      <c r="D110" s="1061"/>
      <c r="E110" s="210">
        <f t="shared" ref="E110:E122" si="2">C110/12</f>
        <v>20872.712499999998</v>
      </c>
      <c r="F110" s="242">
        <f>ROUND(C110*(1+'Løntabel gældende fra'!$D$7/100),0)</f>
        <v>267926</v>
      </c>
      <c r="G110" s="313">
        <f t="shared" ref="G110:G122" si="3">F110/12</f>
        <v>22327.166666666668</v>
      </c>
      <c r="H110" s="1060">
        <f t="shared" si="1"/>
        <v>3349.0750000000003</v>
      </c>
      <c r="I110" s="1061"/>
    </row>
    <row r="111" spans="1:15" x14ac:dyDescent="0.15">
      <c r="A111" s="881">
        <v>2</v>
      </c>
      <c r="B111" s="882">
        <v>25</v>
      </c>
      <c r="C111" s="1060">
        <f>+'Statens skalatrin'!N78</f>
        <v>259721.7</v>
      </c>
      <c r="D111" s="1061"/>
      <c r="E111" s="210">
        <f t="shared" si="2"/>
        <v>21643.475000000002</v>
      </c>
      <c r="F111" s="242">
        <f>ROUND(C111*(1+'Løntabel gældende fra'!$D$7/100),0)</f>
        <v>277820</v>
      </c>
      <c r="G111" s="313">
        <f t="shared" si="3"/>
        <v>23151.666666666668</v>
      </c>
      <c r="H111" s="1060">
        <f t="shared" si="1"/>
        <v>3472.75</v>
      </c>
      <c r="I111" s="1061"/>
    </row>
    <row r="112" spans="1:15" x14ac:dyDescent="0.15">
      <c r="A112" s="881">
        <v>2</v>
      </c>
      <c r="B112" s="882">
        <v>27</v>
      </c>
      <c r="C112" s="1060">
        <f>+'Statens skalatrin'!N84</f>
        <v>269459.90000000002</v>
      </c>
      <c r="D112" s="1061"/>
      <c r="E112" s="210">
        <f t="shared" si="2"/>
        <v>22454.991666666669</v>
      </c>
      <c r="F112" s="242">
        <f>ROUND(C112*(1+'Løntabel gældende fra'!$D$7/100),0)</f>
        <v>288237</v>
      </c>
      <c r="G112" s="313">
        <f t="shared" si="3"/>
        <v>24019.75</v>
      </c>
      <c r="H112" s="1060">
        <f t="shared" si="1"/>
        <v>3602.9625000000001</v>
      </c>
      <c r="I112" s="1061"/>
    </row>
    <row r="113" spans="1:9" x14ac:dyDescent="0.15">
      <c r="A113" s="881">
        <v>3</v>
      </c>
      <c r="B113" s="882">
        <v>28</v>
      </c>
      <c r="C113" s="1060">
        <f>+'Statens skalatrin'!N87</f>
        <v>274522.23</v>
      </c>
      <c r="D113" s="1061"/>
      <c r="E113" s="210">
        <f t="shared" si="2"/>
        <v>22876.852499999997</v>
      </c>
      <c r="F113" s="242">
        <f>ROUND(C113*(1+'Løntabel gældende fra'!$D$7/100),0)</f>
        <v>293652</v>
      </c>
      <c r="G113" s="313">
        <f t="shared" si="3"/>
        <v>24471</v>
      </c>
      <c r="H113" s="1060">
        <f t="shared" si="1"/>
        <v>3670.65</v>
      </c>
      <c r="I113" s="1061"/>
    </row>
    <row r="114" spans="1:9" x14ac:dyDescent="0.15">
      <c r="A114" s="881">
        <v>3</v>
      </c>
      <c r="B114" s="882">
        <v>29</v>
      </c>
      <c r="C114" s="1060">
        <f>+'Statens skalatrin'!N90</f>
        <v>279714.99</v>
      </c>
      <c r="D114" s="1061"/>
      <c r="E114" s="210">
        <f t="shared" si="2"/>
        <v>23309.5825</v>
      </c>
      <c r="F114" s="242">
        <f>ROUND(C114*(1+'Løntabel gældende fra'!$D$7/100),0)</f>
        <v>299206</v>
      </c>
      <c r="G114" s="313">
        <f t="shared" si="3"/>
        <v>24933.833333333332</v>
      </c>
      <c r="H114" s="1060">
        <f t="shared" si="1"/>
        <v>3740.0749999999998</v>
      </c>
      <c r="I114" s="1061"/>
    </row>
    <row r="115" spans="1:9" x14ac:dyDescent="0.15">
      <c r="A115" s="881">
        <v>3</v>
      </c>
      <c r="B115" s="882">
        <v>30</v>
      </c>
      <c r="C115" s="1060">
        <f>+'Statens skalatrin'!N93</f>
        <v>285044.74</v>
      </c>
      <c r="D115" s="1061"/>
      <c r="E115" s="210">
        <f t="shared" si="2"/>
        <v>23753.728333333333</v>
      </c>
      <c r="F115" s="242">
        <f>ROUND(C115*(1+'Løntabel gældende fra'!$D$7/100),0)</f>
        <v>304908</v>
      </c>
      <c r="G115" s="313">
        <f t="shared" si="3"/>
        <v>25409</v>
      </c>
      <c r="H115" s="1060">
        <f t="shared" si="1"/>
        <v>3811.35</v>
      </c>
      <c r="I115" s="1061"/>
    </row>
    <row r="116" spans="1:9" x14ac:dyDescent="0.15">
      <c r="A116" s="881">
        <v>3</v>
      </c>
      <c r="B116" s="882">
        <v>31</v>
      </c>
      <c r="C116" s="1060">
        <f>+'Statens skalatrin'!N96</f>
        <v>290512.64000000001</v>
      </c>
      <c r="D116" s="1061"/>
      <c r="E116" s="210">
        <f t="shared" si="2"/>
        <v>24209.386666666669</v>
      </c>
      <c r="F116" s="242">
        <f>ROUND(C116*(1+'Løntabel gældende fra'!$D$7/100),0)</f>
        <v>310756</v>
      </c>
      <c r="G116" s="313">
        <f t="shared" si="3"/>
        <v>25896.333333333332</v>
      </c>
      <c r="H116" s="1060">
        <f t="shared" si="1"/>
        <v>3884.45</v>
      </c>
      <c r="I116" s="1061"/>
    </row>
    <row r="117" spans="1:9" x14ac:dyDescent="0.15">
      <c r="A117" s="881">
        <v>28</v>
      </c>
      <c r="B117" s="882">
        <v>28</v>
      </c>
      <c r="C117" s="1060">
        <f>+C113</f>
        <v>274522.23</v>
      </c>
      <c r="D117" s="1061"/>
      <c r="E117" s="210">
        <f t="shared" si="2"/>
        <v>22876.852499999997</v>
      </c>
      <c r="F117" s="242">
        <f>ROUND(C117*(1+'Løntabel gældende fra'!$D$7/100),0)</f>
        <v>293652</v>
      </c>
      <c r="G117" s="313">
        <f t="shared" si="3"/>
        <v>24471</v>
      </c>
      <c r="H117" s="1060">
        <f t="shared" si="1"/>
        <v>3670.65</v>
      </c>
      <c r="I117" s="1061"/>
    </row>
    <row r="118" spans="1:9" x14ac:dyDescent="0.15">
      <c r="A118" s="881">
        <v>29</v>
      </c>
      <c r="B118" s="882">
        <v>29</v>
      </c>
      <c r="C118" s="1060">
        <f>+C114</f>
        <v>279714.99</v>
      </c>
      <c r="D118" s="1061"/>
      <c r="E118" s="210">
        <f t="shared" si="2"/>
        <v>23309.5825</v>
      </c>
      <c r="F118" s="242">
        <f>ROUND(C118*(1+'Løntabel gældende fra'!$D$7/100),0)</f>
        <v>299206</v>
      </c>
      <c r="G118" s="313">
        <f t="shared" si="3"/>
        <v>24933.833333333332</v>
      </c>
      <c r="H118" s="1060">
        <f t="shared" si="1"/>
        <v>3740.0749999999998</v>
      </c>
      <c r="I118" s="1061"/>
    </row>
    <row r="119" spans="1:9" x14ac:dyDescent="0.15">
      <c r="A119" s="881">
        <v>30</v>
      </c>
      <c r="B119" s="882">
        <v>30</v>
      </c>
      <c r="C119" s="1060">
        <f>+C115</f>
        <v>285044.74</v>
      </c>
      <c r="D119" s="1061"/>
      <c r="E119" s="210">
        <f t="shared" si="2"/>
        <v>23753.728333333333</v>
      </c>
      <c r="F119" s="242">
        <f>ROUND(C119*(1+'Løntabel gældende fra'!$D$7/100),0)</f>
        <v>304908</v>
      </c>
      <c r="G119" s="313">
        <f t="shared" si="3"/>
        <v>25409</v>
      </c>
      <c r="H119" s="1060">
        <f t="shared" si="1"/>
        <v>3811.35</v>
      </c>
      <c r="I119" s="1061"/>
    </row>
    <row r="120" spans="1:9" x14ac:dyDescent="0.15">
      <c r="A120" s="881">
        <v>31</v>
      </c>
      <c r="B120" s="882">
        <v>31</v>
      </c>
      <c r="C120" s="1060">
        <f>+C116</f>
        <v>290512.64000000001</v>
      </c>
      <c r="D120" s="1061"/>
      <c r="E120" s="210">
        <f t="shared" si="2"/>
        <v>24209.386666666669</v>
      </c>
      <c r="F120" s="242">
        <f>ROUND(C120*(1+'Løntabel gældende fra'!$D$7/100),0)</f>
        <v>310756</v>
      </c>
      <c r="G120" s="313">
        <f t="shared" si="3"/>
        <v>25896.333333333332</v>
      </c>
      <c r="H120" s="1060">
        <f t="shared" si="1"/>
        <v>3884.45</v>
      </c>
      <c r="I120" s="1061"/>
    </row>
    <row r="121" spans="1:9" x14ac:dyDescent="0.15">
      <c r="A121" s="881">
        <v>32</v>
      </c>
      <c r="B121" s="882">
        <v>32</v>
      </c>
      <c r="C121" s="1060">
        <f>+'Statens skalatrin'!N99</f>
        <v>296125.21000000002</v>
      </c>
      <c r="D121" s="1061"/>
      <c r="E121" s="210">
        <f t="shared" si="2"/>
        <v>24677.100833333334</v>
      </c>
      <c r="F121" s="242">
        <f>ROUND(C121*(1+'Løntabel gældende fra'!$D$7/100),0)</f>
        <v>316760</v>
      </c>
      <c r="G121" s="313">
        <f t="shared" si="3"/>
        <v>26396.666666666668</v>
      </c>
      <c r="H121" s="1060">
        <f t="shared" si="1"/>
        <v>3959.5</v>
      </c>
      <c r="I121" s="1061"/>
    </row>
    <row r="122" spans="1:9" ht="15" customHeight="1" thickBot="1" x14ac:dyDescent="0.2">
      <c r="A122" s="167">
        <v>33</v>
      </c>
      <c r="B122" s="434">
        <v>33</v>
      </c>
      <c r="C122" s="1184">
        <f>+'Statens skalatrin'!N102</f>
        <v>301881.8</v>
      </c>
      <c r="D122" s="1185"/>
      <c r="E122" s="880">
        <f t="shared" si="2"/>
        <v>25156.816666666666</v>
      </c>
      <c r="F122" s="243">
        <f>ROUND(C122*(1+'Løntabel gældende fra'!$D$7/100),0)</f>
        <v>322918</v>
      </c>
      <c r="G122" s="879">
        <f t="shared" si="3"/>
        <v>26909.833333333332</v>
      </c>
      <c r="H122" s="1184">
        <f t="shared" si="1"/>
        <v>4036.4749999999995</v>
      </c>
      <c r="I122" s="1185"/>
    </row>
    <row r="123" spans="1:9" ht="20" customHeight="1" x14ac:dyDescent="0.15">
      <c r="A123" s="1107" t="s">
        <v>93</v>
      </c>
      <c r="B123" s="1108"/>
      <c r="C123" s="1108"/>
      <c r="D123" s="1108"/>
      <c r="E123" s="1108"/>
      <c r="F123" s="1108"/>
      <c r="G123" s="1108"/>
      <c r="H123" s="1108"/>
      <c r="I123" s="1109"/>
    </row>
    <row r="124" spans="1:9" ht="17.25" customHeight="1" x14ac:dyDescent="0.15">
      <c r="A124" s="1239" t="str">
        <f>'Løntabel gældende fra'!$D$1</f>
        <v>01/04/2018</v>
      </c>
      <c r="B124" s="1240"/>
      <c r="C124" s="1240"/>
      <c r="D124" s="1240"/>
      <c r="E124" s="1240"/>
      <c r="F124" s="1240"/>
      <c r="G124" s="1240"/>
      <c r="H124" s="1240"/>
      <c r="I124" s="1241"/>
    </row>
    <row r="125" spans="1:9" ht="14.25" customHeight="1" thickBot="1" x14ac:dyDescent="0.2">
      <c r="A125" s="1095" t="s">
        <v>90</v>
      </c>
      <c r="B125" s="1096"/>
      <c r="C125" s="1096"/>
      <c r="D125" s="1096"/>
      <c r="E125" s="1096"/>
      <c r="F125" s="1097"/>
      <c r="G125" s="1097"/>
      <c r="H125" s="1097"/>
      <c r="I125" s="1098"/>
    </row>
    <row r="126" spans="1:9" x14ac:dyDescent="0.15">
      <c r="A126" s="1072" t="s">
        <v>0</v>
      </c>
      <c r="B126" s="1054" t="s">
        <v>21</v>
      </c>
      <c r="C126" s="1055"/>
      <c r="D126" s="1055"/>
      <c r="E126" s="1055"/>
      <c r="F126" s="1227" t="s">
        <v>95</v>
      </c>
      <c r="G126" s="1228"/>
      <c r="H126" s="962">
        <v>0.17299999999999999</v>
      </c>
      <c r="I126" s="963"/>
    </row>
    <row r="127" spans="1:9" ht="15" thickBot="1" x14ac:dyDescent="0.2">
      <c r="A127" s="1231"/>
      <c r="B127" s="1091"/>
      <c r="C127" s="1092"/>
      <c r="D127" s="1092"/>
      <c r="E127" s="1092"/>
      <c r="F127" s="1091" t="s">
        <v>501</v>
      </c>
      <c r="G127" s="1092"/>
      <c r="H127" s="1092"/>
      <c r="I127" s="1117"/>
    </row>
    <row r="128" spans="1:9" x14ac:dyDescent="0.15">
      <c r="A128" s="184">
        <v>1</v>
      </c>
      <c r="B128" s="1173">
        <f>E10</f>
        <v>24932.08222375</v>
      </c>
      <c r="C128" s="1187"/>
      <c r="D128" s="1187"/>
      <c r="E128" s="1174"/>
      <c r="F128" s="1173">
        <f>B128*$H$126</f>
        <v>4313.2502247087496</v>
      </c>
      <c r="G128" s="1187"/>
      <c r="H128" s="1187"/>
      <c r="I128" s="1174"/>
    </row>
    <row r="129" spans="1:10" x14ac:dyDescent="0.15">
      <c r="A129" s="104">
        <v>2</v>
      </c>
      <c r="B129" s="1229">
        <f>E11</f>
        <v>26567.716671000002</v>
      </c>
      <c r="C129" s="1059"/>
      <c r="D129" s="1059"/>
      <c r="E129" s="1230"/>
      <c r="F129" s="1229">
        <f>B129*$H$126</f>
        <v>4596.2149840829998</v>
      </c>
      <c r="G129" s="1059"/>
      <c r="H129" s="1059"/>
      <c r="I129" s="1230"/>
    </row>
    <row r="130" spans="1:10" x14ac:dyDescent="0.15">
      <c r="A130" s="104">
        <v>3</v>
      </c>
      <c r="B130" s="1229">
        <f>E12</f>
        <v>29032.890284749999</v>
      </c>
      <c r="C130" s="1059"/>
      <c r="D130" s="1059"/>
      <c r="E130" s="1230"/>
      <c r="F130" s="1229">
        <f>B130*$H$126</f>
        <v>5022.6900192617495</v>
      </c>
      <c r="G130" s="1059"/>
      <c r="H130" s="1059"/>
      <c r="I130" s="1230"/>
    </row>
    <row r="131" spans="1:10" ht="15" thickBot="1" x14ac:dyDescent="0.2">
      <c r="A131" s="105">
        <v>4</v>
      </c>
      <c r="B131" s="1220">
        <f>E13</f>
        <v>31322.814167</v>
      </c>
      <c r="C131" s="1183"/>
      <c r="D131" s="1183"/>
      <c r="E131" s="1221"/>
      <c r="F131" s="1220">
        <f>B131*$H$126</f>
        <v>5418.846850891</v>
      </c>
      <c r="G131" s="1183"/>
      <c r="H131" s="1183"/>
      <c r="I131" s="1221"/>
    </row>
    <row r="132" spans="1:10" ht="19" thickBot="1" x14ac:dyDescent="0.2">
      <c r="A132" s="1099" t="s">
        <v>91</v>
      </c>
      <c r="B132" s="1100"/>
      <c r="C132" s="1100"/>
      <c r="D132" s="1100"/>
      <c r="E132" s="1100"/>
      <c r="F132" s="1100"/>
      <c r="G132" s="1100"/>
      <c r="H132" s="1100"/>
      <c r="I132" s="480"/>
    </row>
    <row r="133" spans="1:10" x14ac:dyDescent="0.15">
      <c r="A133" s="1084" t="s">
        <v>106</v>
      </c>
      <c r="B133" s="1084" t="s">
        <v>146</v>
      </c>
      <c r="C133" s="1093" t="s">
        <v>24</v>
      </c>
      <c r="D133" s="1093"/>
      <c r="E133" s="1093"/>
      <c r="F133" s="1094" t="s">
        <v>25</v>
      </c>
      <c r="G133" s="1093"/>
      <c r="H133" s="1085" t="s">
        <v>95</v>
      </c>
      <c r="I133" s="1086"/>
    </row>
    <row r="134" spans="1:10" ht="15" customHeight="1" thickBot="1" x14ac:dyDescent="0.2">
      <c r="A134" s="1084"/>
      <c r="B134" s="1084"/>
      <c r="C134" s="1070">
        <v>40999</v>
      </c>
      <c r="D134" s="1070"/>
      <c r="E134" s="1070"/>
      <c r="F134" s="1069" t="str">
        <f>'Løntabel gældende fra'!$D$1</f>
        <v>01/04/2018</v>
      </c>
      <c r="G134" s="1070"/>
      <c r="H134" s="1128"/>
      <c r="I134" s="1130"/>
    </row>
    <row r="135" spans="1:10" ht="15" thickBot="1" x14ac:dyDescent="0.2">
      <c r="A135" s="1121"/>
      <c r="B135" s="1084"/>
      <c r="C135" s="1201" t="s">
        <v>88</v>
      </c>
      <c r="D135" s="1086"/>
      <c r="E135" s="875" t="s">
        <v>89</v>
      </c>
      <c r="F135" s="876" t="s">
        <v>88</v>
      </c>
      <c r="G135" s="877" t="s">
        <v>89</v>
      </c>
      <c r="H135" s="1225">
        <v>0.15</v>
      </c>
      <c r="I135" s="1226"/>
    </row>
    <row r="136" spans="1:10" ht="19" customHeight="1" x14ac:dyDescent="0.15">
      <c r="A136" s="159">
        <v>1</v>
      </c>
      <c r="B136" s="433">
        <v>24</v>
      </c>
      <c r="C136" s="1052">
        <f>+'Statens skalatrin'!N75</f>
        <v>255037.97</v>
      </c>
      <c r="D136" s="1053"/>
      <c r="E136" s="874">
        <f>C136/12</f>
        <v>21253.164166666666</v>
      </c>
      <c r="F136" s="241">
        <f>ROUND(C136*(1+'Løntabel gældende fra'!$D$7/100),0)</f>
        <v>272810</v>
      </c>
      <c r="G136" s="873">
        <f>F136/12</f>
        <v>22734.166666666668</v>
      </c>
      <c r="H136" s="1206">
        <f t="shared" ref="H136:H150" si="4">G136*$H$135</f>
        <v>3410.125</v>
      </c>
      <c r="I136" s="1207"/>
    </row>
    <row r="137" spans="1:10" ht="14" customHeight="1" x14ac:dyDescent="0.15">
      <c r="A137" s="881">
        <v>1</v>
      </c>
      <c r="B137" s="882">
        <v>25</v>
      </c>
      <c r="C137" s="1060">
        <f>+'Statens skalatrin'!N78</f>
        <v>259721.7</v>
      </c>
      <c r="D137" s="1061"/>
      <c r="E137" s="210">
        <f t="shared" ref="E137:E150" si="5">C137/12</f>
        <v>21643.475000000002</v>
      </c>
      <c r="F137" s="242">
        <f>ROUND(C137*(1+'Løntabel gældende fra'!$D$7/100),0)</f>
        <v>277820</v>
      </c>
      <c r="G137" s="313">
        <f t="shared" ref="G137:G150" si="6">F137/12</f>
        <v>23151.666666666668</v>
      </c>
      <c r="H137" s="1060">
        <f t="shared" si="4"/>
        <v>3472.75</v>
      </c>
      <c r="I137" s="1061"/>
      <c r="J137" s="51"/>
    </row>
    <row r="138" spans="1:10" x14ac:dyDescent="0.15">
      <c r="A138" s="881">
        <v>2</v>
      </c>
      <c r="B138" s="882">
        <v>27</v>
      </c>
      <c r="C138" s="1060">
        <f>+'Statens skalatrin'!N84</f>
        <v>269459.90000000002</v>
      </c>
      <c r="D138" s="1061"/>
      <c r="E138" s="210">
        <f t="shared" si="5"/>
        <v>22454.991666666669</v>
      </c>
      <c r="F138" s="242">
        <f>ROUND(C138*(1+'Løntabel gældende fra'!$D$7/100),0)</f>
        <v>288237</v>
      </c>
      <c r="G138" s="313">
        <f t="shared" si="6"/>
        <v>24019.75</v>
      </c>
      <c r="H138" s="1060">
        <f t="shared" si="4"/>
        <v>3602.9625000000001</v>
      </c>
      <c r="I138" s="1061"/>
    </row>
    <row r="139" spans="1:10" x14ac:dyDescent="0.15">
      <c r="A139" s="881">
        <v>2</v>
      </c>
      <c r="B139" s="882">
        <v>29</v>
      </c>
      <c r="C139" s="1060">
        <f>+'Statens skalatrin'!N90</f>
        <v>279714.99</v>
      </c>
      <c r="D139" s="1061"/>
      <c r="E139" s="210">
        <f t="shared" si="5"/>
        <v>23309.5825</v>
      </c>
      <c r="F139" s="242">
        <f>ROUND(C139*(1+'Løntabel gældende fra'!$D$7/100),0)</f>
        <v>299206</v>
      </c>
      <c r="G139" s="313">
        <f t="shared" si="6"/>
        <v>24933.833333333332</v>
      </c>
      <c r="H139" s="1060">
        <f t="shared" si="4"/>
        <v>3740.0749999999998</v>
      </c>
      <c r="I139" s="1061"/>
    </row>
    <row r="140" spans="1:10" x14ac:dyDescent="0.15">
      <c r="A140" s="881">
        <v>3</v>
      </c>
      <c r="B140" s="882">
        <v>31</v>
      </c>
      <c r="C140" s="1060">
        <f>+'Statens skalatrin'!N96</f>
        <v>290512.64000000001</v>
      </c>
      <c r="D140" s="1061"/>
      <c r="E140" s="210">
        <f t="shared" si="5"/>
        <v>24209.386666666669</v>
      </c>
      <c r="F140" s="242">
        <f>ROUND(C140*(1+'Løntabel gældende fra'!$D$7/100),0)</f>
        <v>310756</v>
      </c>
      <c r="G140" s="313">
        <f t="shared" si="6"/>
        <v>25896.333333333332</v>
      </c>
      <c r="H140" s="1060">
        <f t="shared" si="4"/>
        <v>3884.45</v>
      </c>
      <c r="I140" s="1061"/>
    </row>
    <row r="141" spans="1:10" x14ac:dyDescent="0.15">
      <c r="A141" s="881">
        <v>3</v>
      </c>
      <c r="B141" s="882">
        <v>33</v>
      </c>
      <c r="C141" s="1060">
        <f>+'Statens skalatrin'!N102</f>
        <v>301881.8</v>
      </c>
      <c r="D141" s="1061"/>
      <c r="E141" s="210">
        <f t="shared" si="5"/>
        <v>25156.816666666666</v>
      </c>
      <c r="F141" s="242">
        <f>ROUND(C141*(1+'Løntabel gældende fra'!$D$7/100),0)</f>
        <v>322918</v>
      </c>
      <c r="G141" s="313">
        <f t="shared" si="6"/>
        <v>26909.833333333332</v>
      </c>
      <c r="H141" s="1060">
        <f t="shared" si="4"/>
        <v>4036.4749999999995</v>
      </c>
      <c r="I141" s="1061"/>
    </row>
    <row r="142" spans="1:10" x14ac:dyDescent="0.15">
      <c r="A142" s="881">
        <v>3</v>
      </c>
      <c r="B142" s="882">
        <v>35</v>
      </c>
      <c r="C142" s="1060">
        <f>+'Statens skalatrin'!N108</f>
        <v>313854.56</v>
      </c>
      <c r="D142" s="1061"/>
      <c r="E142" s="210">
        <f t="shared" si="5"/>
        <v>26154.546666666665</v>
      </c>
      <c r="F142" s="242">
        <f>ROUND(C142*(1+'Løntabel gældende fra'!$D$7/100),0)</f>
        <v>335725</v>
      </c>
      <c r="G142" s="313">
        <f t="shared" si="6"/>
        <v>27977.083333333332</v>
      </c>
      <c r="H142" s="1060">
        <f t="shared" si="4"/>
        <v>4196.5625</v>
      </c>
      <c r="I142" s="1061"/>
    </row>
    <row r="143" spans="1:10" x14ac:dyDescent="0.15">
      <c r="A143" s="881">
        <v>3</v>
      </c>
      <c r="B143" s="882">
        <v>37</v>
      </c>
      <c r="C143" s="1060">
        <f>+'Statens skalatrin'!N114</f>
        <v>326457.34000000003</v>
      </c>
      <c r="D143" s="1061"/>
      <c r="E143" s="210">
        <f t="shared" si="5"/>
        <v>27204.778333333335</v>
      </c>
      <c r="F143" s="242">
        <f>ROUND(C143*(1+'Løntabel gældende fra'!$D$7/100),0)</f>
        <v>349206</v>
      </c>
      <c r="G143" s="313">
        <f t="shared" si="6"/>
        <v>29100.5</v>
      </c>
      <c r="H143" s="1060">
        <f t="shared" si="4"/>
        <v>4365.0749999999998</v>
      </c>
      <c r="I143" s="1061"/>
    </row>
    <row r="144" spans="1:10" x14ac:dyDescent="0.15">
      <c r="A144" s="881">
        <v>3</v>
      </c>
      <c r="B144" s="882">
        <v>40</v>
      </c>
      <c r="C144" s="1060">
        <f>+'Statens skalatrin'!N123</f>
        <v>347027.46</v>
      </c>
      <c r="D144" s="1061"/>
      <c r="E144" s="210">
        <f t="shared" si="5"/>
        <v>28918.955000000002</v>
      </c>
      <c r="F144" s="242">
        <f>ROUND(C144*(1+'Løntabel gældende fra'!$D$7/100),0)</f>
        <v>371209</v>
      </c>
      <c r="G144" s="313">
        <f t="shared" si="6"/>
        <v>30934.083333333332</v>
      </c>
      <c r="H144" s="1060">
        <f t="shared" si="4"/>
        <v>4640.1124999999993</v>
      </c>
      <c r="I144" s="1061"/>
    </row>
    <row r="145" spans="1:9" x14ac:dyDescent="0.15">
      <c r="A145" s="881">
        <v>35</v>
      </c>
      <c r="B145" s="882">
        <v>35</v>
      </c>
      <c r="C145" s="1060">
        <f>+C142</f>
        <v>313854.56</v>
      </c>
      <c r="D145" s="1061"/>
      <c r="E145" s="210">
        <f t="shared" si="5"/>
        <v>26154.546666666665</v>
      </c>
      <c r="F145" s="242">
        <f>ROUND(C145*(1+'Løntabel gældende fra'!$D$7/100),0)</f>
        <v>335725</v>
      </c>
      <c r="G145" s="313">
        <f t="shared" si="6"/>
        <v>27977.083333333332</v>
      </c>
      <c r="H145" s="1060">
        <f t="shared" si="4"/>
        <v>4196.5625</v>
      </c>
      <c r="I145" s="1061"/>
    </row>
    <row r="146" spans="1:9" x14ac:dyDescent="0.15">
      <c r="A146" s="881">
        <v>36</v>
      </c>
      <c r="B146" s="882">
        <v>36</v>
      </c>
      <c r="C146" s="1060">
        <f>+'Statens skalatrin'!N111</f>
        <v>320074.68</v>
      </c>
      <c r="D146" s="1061"/>
      <c r="E146" s="210">
        <f t="shared" si="5"/>
        <v>26672.89</v>
      </c>
      <c r="F146" s="242">
        <f>ROUND(C146*(1+'Løntabel gældende fra'!$D$7/100),0)</f>
        <v>342378</v>
      </c>
      <c r="G146" s="313">
        <f t="shared" si="6"/>
        <v>28531.5</v>
      </c>
      <c r="H146" s="1060">
        <f t="shared" si="4"/>
        <v>4279.7249999999995</v>
      </c>
      <c r="I146" s="1061"/>
    </row>
    <row r="147" spans="1:9" x14ac:dyDescent="0.15">
      <c r="A147" s="881">
        <v>38</v>
      </c>
      <c r="B147" s="882">
        <v>38</v>
      </c>
      <c r="C147" s="1060">
        <f>+'Statens skalatrin'!N117</f>
        <v>333128.88</v>
      </c>
      <c r="D147" s="1061"/>
      <c r="E147" s="210">
        <f t="shared" si="5"/>
        <v>27760.74</v>
      </c>
      <c r="F147" s="242">
        <f>ROUND(C147*(1+'Løntabel gældende fra'!$D$7/100),0)</f>
        <v>356342</v>
      </c>
      <c r="G147" s="313">
        <f t="shared" si="6"/>
        <v>29695.166666666668</v>
      </c>
      <c r="H147" s="1060">
        <f t="shared" si="4"/>
        <v>4454.2749999999996</v>
      </c>
      <c r="I147" s="1061"/>
    </row>
    <row r="148" spans="1:9" x14ac:dyDescent="0.15">
      <c r="A148" s="881">
        <v>40</v>
      </c>
      <c r="B148" s="882">
        <v>40</v>
      </c>
      <c r="C148" s="1060">
        <f>+'Statens skalatrin'!N123</f>
        <v>347027.46</v>
      </c>
      <c r="D148" s="1061"/>
      <c r="E148" s="210">
        <f t="shared" si="5"/>
        <v>28918.955000000002</v>
      </c>
      <c r="F148" s="242">
        <f>ROUND(C148*(1+'Løntabel gældende fra'!$D$7/100),0)</f>
        <v>371209</v>
      </c>
      <c r="G148" s="313">
        <f t="shared" si="6"/>
        <v>30934.083333333332</v>
      </c>
      <c r="H148" s="1060">
        <f t="shared" si="4"/>
        <v>4640.1124999999993</v>
      </c>
      <c r="I148" s="1061"/>
    </row>
    <row r="149" spans="1:9" x14ac:dyDescent="0.15">
      <c r="A149" s="881">
        <v>41</v>
      </c>
      <c r="B149" s="882">
        <v>41</v>
      </c>
      <c r="C149" s="1060">
        <f>+'Statens skalatrin'!N126</f>
        <v>354249.23</v>
      </c>
      <c r="D149" s="1061"/>
      <c r="E149" s="210">
        <f t="shared" si="5"/>
        <v>29520.769166666665</v>
      </c>
      <c r="F149" s="242">
        <f>ROUND(C149*(1+'Løntabel gældende fra'!$D$7/100),0)</f>
        <v>378934</v>
      </c>
      <c r="G149" s="313">
        <f t="shared" si="6"/>
        <v>31577.833333333332</v>
      </c>
      <c r="H149" s="1060">
        <f t="shared" si="4"/>
        <v>4736.6749999999993</v>
      </c>
      <c r="I149" s="1061"/>
    </row>
    <row r="150" spans="1:9" ht="15" thickBot="1" x14ac:dyDescent="0.2">
      <c r="A150" s="167">
        <v>42</v>
      </c>
      <c r="B150" s="434">
        <v>42</v>
      </c>
      <c r="C150" s="1184">
        <f>+'Statens skalatrin'!N129</f>
        <v>361659.2</v>
      </c>
      <c r="D150" s="1185"/>
      <c r="E150" s="880">
        <f t="shared" si="5"/>
        <v>30138.266666666666</v>
      </c>
      <c r="F150" s="243">
        <f>ROUND(C150*(1+'Løntabel gældende fra'!$D$7/100),0)</f>
        <v>386861</v>
      </c>
      <c r="G150" s="879">
        <f t="shared" si="6"/>
        <v>32238.416666666668</v>
      </c>
      <c r="H150" s="1184">
        <f t="shared" si="4"/>
        <v>4835.7624999999998</v>
      </c>
      <c r="I150" s="1185"/>
    </row>
    <row r="151" spans="1:9" x14ac:dyDescent="0.15">
      <c r="A151" s="1235" t="s">
        <v>488</v>
      </c>
      <c r="B151" s="1235"/>
      <c r="C151" s="1235"/>
      <c r="D151" s="1235"/>
      <c r="E151" s="1235"/>
      <c r="F151" s="1235"/>
      <c r="G151" s="1235"/>
      <c r="H151" s="1235"/>
      <c r="I151" s="1235"/>
    </row>
    <row r="152" spans="1:9" ht="15" hidden="1" customHeight="1" x14ac:dyDescent="0.15">
      <c r="A152" s="1236"/>
      <c r="B152" s="1236"/>
      <c r="C152" s="1236"/>
      <c r="D152" s="1236"/>
      <c r="E152" s="1236"/>
      <c r="F152" s="1236"/>
      <c r="G152" s="1236"/>
      <c r="H152" s="1236"/>
      <c r="I152" s="1236"/>
    </row>
    <row r="153" spans="1:9" s="76" customFormat="1" ht="15.75" customHeight="1" x14ac:dyDescent="0.2">
      <c r="A153" s="1236"/>
      <c r="B153" s="1236"/>
      <c r="C153" s="1236"/>
      <c r="D153" s="1236"/>
      <c r="E153" s="1236"/>
      <c r="F153" s="1236"/>
      <c r="G153" s="1236"/>
      <c r="H153" s="1236"/>
      <c r="I153" s="1236"/>
    </row>
    <row r="154" spans="1:9" s="76" customFormat="1" ht="15" x14ac:dyDescent="0.2">
      <c r="A154" s="1236"/>
      <c r="B154" s="1236"/>
      <c r="C154" s="1236"/>
      <c r="D154" s="1236"/>
      <c r="E154" s="1236"/>
      <c r="F154" s="1236"/>
      <c r="G154" s="1236"/>
      <c r="H154" s="1236"/>
      <c r="I154" s="1236"/>
    </row>
    <row r="155" spans="1:9" s="76" customFormat="1" ht="15" x14ac:dyDescent="0.2">
      <c r="A155" s="1236"/>
      <c r="B155" s="1236"/>
      <c r="C155" s="1236"/>
      <c r="D155" s="1236"/>
      <c r="E155" s="1236"/>
      <c r="F155" s="1236"/>
      <c r="G155" s="1236"/>
      <c r="H155" s="1236"/>
      <c r="I155" s="1236"/>
    </row>
    <row r="156" spans="1:9" s="76" customFormat="1" ht="15" x14ac:dyDescent="0.2">
      <c r="A156" s="1236"/>
      <c r="B156" s="1236"/>
      <c r="C156" s="1236"/>
      <c r="D156" s="1236"/>
      <c r="E156" s="1236"/>
      <c r="F156" s="1236"/>
      <c r="G156" s="1236"/>
      <c r="H156" s="1236"/>
      <c r="I156" s="1236"/>
    </row>
    <row r="157" spans="1:9" s="79" customFormat="1" ht="1" customHeight="1" x14ac:dyDescent="0.2">
      <c r="A157" s="1175"/>
      <c r="B157" s="1175"/>
      <c r="C157" s="1175"/>
      <c r="D157" s="1175"/>
      <c r="E157" s="1175"/>
      <c r="F157" s="1175"/>
      <c r="G157" s="1175"/>
      <c r="H157" s="1175"/>
      <c r="I157" s="76"/>
    </row>
    <row r="158" spans="1:9" s="76" customFormat="1" ht="15" x14ac:dyDescent="0.2">
      <c r="A158" s="82"/>
      <c r="B158" s="82"/>
      <c r="C158" s="82"/>
      <c r="D158" s="83"/>
      <c r="E158" s="81"/>
    </row>
    <row r="159" spans="1:9" s="76" customFormat="1" ht="15" x14ac:dyDescent="0.2">
      <c r="A159" s="82"/>
      <c r="B159" s="82"/>
      <c r="C159" s="82"/>
      <c r="D159" s="84"/>
      <c r="E159" s="85"/>
    </row>
    <row r="160" spans="1:9" s="76" customFormat="1" ht="15" x14ac:dyDescent="0.2">
      <c r="A160" s="7"/>
      <c r="B160" s="7"/>
      <c r="C160" s="7"/>
      <c r="D160" s="7"/>
      <c r="E160" s="7"/>
      <c r="F160" s="7"/>
      <c r="G160" s="7"/>
      <c r="H160" s="7"/>
      <c r="I160" s="7"/>
    </row>
    <row r="161" spans="1:9" x14ac:dyDescent="0.15">
      <c r="A161" s="7"/>
      <c r="B161" s="7"/>
      <c r="C161" s="7"/>
      <c r="D161" s="7"/>
      <c r="E161" s="7"/>
      <c r="F161" s="7"/>
      <c r="G161" s="7"/>
      <c r="H161" s="7"/>
      <c r="I161" s="7"/>
    </row>
    <row r="162" spans="1:9" x14ac:dyDescent="0.15">
      <c r="A162" s="7"/>
      <c r="B162" s="7"/>
      <c r="C162" s="7"/>
      <c r="D162" s="7"/>
      <c r="E162" s="7"/>
      <c r="F162" s="7"/>
      <c r="G162" s="7"/>
      <c r="H162" s="7"/>
      <c r="I162" s="7"/>
    </row>
    <row r="163" spans="1:9" x14ac:dyDescent="0.15">
      <c r="A163" s="7"/>
      <c r="B163" s="7"/>
      <c r="C163" s="7"/>
      <c r="D163" s="7"/>
      <c r="E163" s="7"/>
      <c r="F163" s="7"/>
      <c r="G163" s="7"/>
      <c r="H163" s="7"/>
      <c r="I163" s="7"/>
    </row>
    <row r="164" spans="1:9" x14ac:dyDescent="0.15">
      <c r="A164" s="7"/>
      <c r="B164" s="7"/>
      <c r="C164" s="7"/>
      <c r="D164" s="7"/>
      <c r="E164" s="7"/>
      <c r="F164" s="7"/>
      <c r="G164" s="7"/>
      <c r="H164" s="7"/>
      <c r="I164" s="7"/>
    </row>
    <row r="165" spans="1:9" x14ac:dyDescent="0.15">
      <c r="A165" s="7"/>
      <c r="B165" s="7"/>
      <c r="C165" s="7"/>
      <c r="D165" s="7"/>
      <c r="E165" s="7"/>
      <c r="F165" s="7"/>
      <c r="G165" s="7"/>
      <c r="H165" s="7"/>
      <c r="I165" s="7"/>
    </row>
    <row r="166" spans="1:9" x14ac:dyDescent="0.15">
      <c r="A166" s="7"/>
      <c r="B166" s="7"/>
      <c r="C166" s="7"/>
      <c r="D166" s="7"/>
      <c r="E166" s="7"/>
      <c r="F166" s="7"/>
      <c r="G166" s="7"/>
      <c r="H166" s="7"/>
      <c r="I166" s="7"/>
    </row>
    <row r="167" spans="1:9" x14ac:dyDescent="0.15">
      <c r="A167" s="7"/>
      <c r="B167" s="7"/>
      <c r="C167" s="7"/>
      <c r="D167" s="7"/>
      <c r="E167" s="7"/>
      <c r="F167" s="7"/>
      <c r="G167" s="7"/>
      <c r="H167" s="7"/>
      <c r="I167" s="7"/>
    </row>
    <row r="168" spans="1:9" x14ac:dyDescent="0.15">
      <c r="A168" s="7"/>
      <c r="B168" s="7"/>
      <c r="C168" s="7"/>
      <c r="D168" s="7"/>
      <c r="E168" s="7"/>
      <c r="F168" s="7"/>
      <c r="G168" s="7"/>
      <c r="H168" s="7"/>
      <c r="I168" s="7"/>
    </row>
    <row r="169" spans="1:9" x14ac:dyDescent="0.15">
      <c r="A169" s="7"/>
      <c r="B169" s="7"/>
      <c r="C169" s="7"/>
      <c r="D169" s="7"/>
      <c r="E169" s="7"/>
      <c r="F169" s="7"/>
      <c r="G169" s="7"/>
      <c r="H169" s="7"/>
      <c r="I169" s="7"/>
    </row>
    <row r="170" spans="1:9" x14ac:dyDescent="0.15">
      <c r="A170" s="7"/>
      <c r="B170" s="7"/>
      <c r="C170" s="7"/>
      <c r="D170" s="7"/>
      <c r="E170" s="7"/>
      <c r="F170" s="7"/>
      <c r="G170" s="7"/>
      <c r="H170" s="7"/>
      <c r="I170" s="7"/>
    </row>
    <row r="171" spans="1:9" x14ac:dyDescent="0.15">
      <c r="A171" s="7"/>
      <c r="B171" s="7"/>
      <c r="C171" s="7"/>
      <c r="D171" s="7"/>
      <c r="E171" s="7"/>
      <c r="F171" s="7"/>
      <c r="G171" s="7"/>
      <c r="H171" s="7"/>
      <c r="I171" s="7"/>
    </row>
    <row r="172" spans="1:9" x14ac:dyDescent="0.15">
      <c r="A172" s="7"/>
      <c r="B172" s="7"/>
      <c r="C172" s="7"/>
      <c r="D172" s="7"/>
      <c r="E172" s="7"/>
      <c r="F172" s="7"/>
      <c r="G172" s="7"/>
      <c r="H172" s="7"/>
      <c r="I172" s="7"/>
    </row>
    <row r="173" spans="1:9" x14ac:dyDescent="0.15">
      <c r="A173" s="7"/>
      <c r="B173" s="7"/>
      <c r="C173" s="7"/>
      <c r="D173" s="7"/>
      <c r="E173" s="7"/>
      <c r="F173" s="7"/>
      <c r="G173" s="7"/>
      <c r="H173" s="7"/>
      <c r="I173" s="7"/>
    </row>
    <row r="174" spans="1:9" x14ac:dyDescent="0.15">
      <c r="A174" s="7"/>
      <c r="B174" s="7"/>
      <c r="C174" s="7"/>
      <c r="D174" s="7"/>
      <c r="E174" s="7"/>
      <c r="F174" s="7"/>
      <c r="G174" s="7"/>
      <c r="H174" s="7"/>
      <c r="I174" s="7"/>
    </row>
    <row r="175" spans="1:9" x14ac:dyDescent="0.15">
      <c r="A175" s="7"/>
      <c r="B175" s="7"/>
      <c r="C175" s="7"/>
      <c r="D175" s="7"/>
      <c r="E175" s="7"/>
      <c r="F175" s="7"/>
      <c r="G175" s="7"/>
      <c r="H175" s="7"/>
      <c r="I175" s="7"/>
    </row>
    <row r="176" spans="1:9" x14ac:dyDescent="0.15">
      <c r="A176" s="7"/>
      <c r="B176" s="7"/>
      <c r="C176" s="7"/>
      <c r="D176" s="7"/>
      <c r="E176" s="7"/>
      <c r="F176" s="7"/>
      <c r="G176" s="7"/>
      <c r="H176" s="7"/>
      <c r="I176" s="7"/>
    </row>
    <row r="177" spans="1:9" x14ac:dyDescent="0.15">
      <c r="A177" s="7"/>
      <c r="B177" s="7"/>
      <c r="C177" s="7"/>
      <c r="D177" s="7"/>
      <c r="E177" s="7"/>
      <c r="F177" s="7"/>
      <c r="G177" s="7"/>
      <c r="H177" s="7"/>
      <c r="I177" s="7"/>
    </row>
    <row r="178" spans="1:9" x14ac:dyDescent="0.15">
      <c r="A178" s="7"/>
      <c r="B178" s="7"/>
      <c r="C178" s="7"/>
      <c r="D178" s="7"/>
      <c r="E178" s="7"/>
      <c r="F178" s="7"/>
      <c r="G178" s="7"/>
      <c r="H178" s="7"/>
      <c r="I178" s="7"/>
    </row>
    <row r="179" spans="1:9" x14ac:dyDescent="0.15">
      <c r="A179" s="7"/>
      <c r="B179" s="7"/>
      <c r="C179" s="7"/>
      <c r="D179" s="7"/>
      <c r="E179" s="7"/>
      <c r="F179" s="7"/>
      <c r="G179" s="7"/>
      <c r="H179" s="7"/>
      <c r="I179" s="7"/>
    </row>
    <row r="180" spans="1:9" x14ac:dyDescent="0.15">
      <c r="A180" s="7"/>
      <c r="B180" s="7"/>
      <c r="C180" s="7"/>
      <c r="D180" s="7"/>
      <c r="E180" s="7"/>
      <c r="F180" s="7"/>
      <c r="G180" s="7"/>
      <c r="H180" s="7"/>
      <c r="I180" s="7"/>
    </row>
    <row r="181" spans="1:9" x14ac:dyDescent="0.15">
      <c r="A181" s="7"/>
      <c r="B181" s="7"/>
      <c r="C181" s="7"/>
      <c r="D181" s="7"/>
      <c r="E181" s="7"/>
      <c r="F181" s="7"/>
      <c r="G181" s="7"/>
      <c r="H181" s="7"/>
      <c r="I181" s="7"/>
    </row>
    <row r="182" spans="1:9" x14ac:dyDescent="0.15">
      <c r="A182" s="7"/>
      <c r="B182" s="7"/>
      <c r="C182" s="7"/>
      <c r="D182" s="7"/>
      <c r="E182" s="7"/>
      <c r="F182" s="7"/>
      <c r="G182" s="7"/>
      <c r="H182" s="7"/>
      <c r="I182" s="7"/>
    </row>
    <row r="183" spans="1:9" x14ac:dyDescent="0.15">
      <c r="A183" s="7"/>
      <c r="B183" s="7"/>
      <c r="C183" s="7"/>
      <c r="D183" s="7"/>
      <c r="E183" s="7"/>
      <c r="F183" s="7"/>
      <c r="G183" s="7"/>
      <c r="H183" s="7"/>
      <c r="I183" s="7"/>
    </row>
    <row r="184" spans="1:9" x14ac:dyDescent="0.15">
      <c r="A184" s="7"/>
      <c r="B184" s="7"/>
      <c r="C184" s="7"/>
      <c r="D184" s="7"/>
      <c r="E184" s="7"/>
      <c r="F184" s="7"/>
      <c r="G184" s="7"/>
      <c r="H184" s="7"/>
      <c r="I184" s="7"/>
    </row>
    <row r="185" spans="1:9" x14ac:dyDescent="0.15">
      <c r="A185" s="7"/>
      <c r="B185" s="7"/>
      <c r="C185" s="7"/>
      <c r="D185" s="7"/>
      <c r="E185" s="7"/>
      <c r="F185" s="7"/>
      <c r="G185" s="7"/>
      <c r="H185" s="7"/>
      <c r="I185" s="7"/>
    </row>
    <row r="186" spans="1:9" x14ac:dyDescent="0.15">
      <c r="A186" s="7"/>
      <c r="B186" s="7"/>
      <c r="C186" s="7"/>
      <c r="D186" s="7"/>
      <c r="E186" s="7"/>
      <c r="F186" s="7"/>
      <c r="G186" s="7"/>
      <c r="H186" s="7"/>
      <c r="I186" s="7"/>
    </row>
    <row r="187" spans="1:9" x14ac:dyDescent="0.15">
      <c r="A187" s="7"/>
      <c r="B187" s="7"/>
      <c r="C187" s="7"/>
      <c r="D187" s="7"/>
      <c r="E187" s="7"/>
      <c r="F187" s="7"/>
      <c r="G187" s="7"/>
      <c r="H187" s="7"/>
      <c r="I187" s="7"/>
    </row>
    <row r="188" spans="1:9" x14ac:dyDescent="0.15">
      <c r="A188" s="7"/>
      <c r="B188" s="7"/>
      <c r="C188" s="7"/>
      <c r="D188" s="7"/>
      <c r="E188" s="7"/>
      <c r="F188" s="7"/>
      <c r="G188" s="7"/>
      <c r="H188" s="7"/>
      <c r="I188" s="7"/>
    </row>
    <row r="189" spans="1:9" x14ac:dyDescent="0.15">
      <c r="A189" s="7"/>
      <c r="B189" s="7"/>
      <c r="C189" s="7"/>
      <c r="D189" s="7"/>
      <c r="E189" s="7"/>
      <c r="F189" s="7"/>
      <c r="G189" s="7"/>
      <c r="H189" s="7"/>
      <c r="I189" s="7"/>
    </row>
    <row r="190" spans="1:9" x14ac:dyDescent="0.15">
      <c r="A190" s="7"/>
      <c r="B190" s="7"/>
      <c r="C190" s="7"/>
      <c r="D190" s="7"/>
      <c r="E190" s="7"/>
      <c r="F190" s="7"/>
      <c r="G190" s="7"/>
      <c r="H190" s="7"/>
      <c r="I190" s="7"/>
    </row>
    <row r="191" spans="1:9" x14ac:dyDescent="0.15">
      <c r="A191" s="7"/>
      <c r="B191" s="7"/>
      <c r="C191" s="7"/>
      <c r="D191" s="7"/>
      <c r="E191" s="7"/>
      <c r="F191" s="7"/>
      <c r="G191" s="7"/>
      <c r="H191" s="7"/>
      <c r="I191" s="7"/>
    </row>
    <row r="192" spans="1:9" x14ac:dyDescent="0.15">
      <c r="A192" s="7"/>
      <c r="B192" s="7"/>
      <c r="C192" s="7"/>
      <c r="D192" s="7"/>
      <c r="E192" s="7"/>
      <c r="F192" s="7"/>
      <c r="G192" s="7"/>
      <c r="H192" s="7"/>
      <c r="I192" s="7"/>
    </row>
    <row r="193" spans="1:9" x14ac:dyDescent="0.15">
      <c r="A193" s="7"/>
      <c r="B193" s="7"/>
      <c r="C193" s="7"/>
      <c r="D193" s="7"/>
      <c r="E193" s="7"/>
      <c r="F193" s="7"/>
      <c r="G193" s="7"/>
      <c r="H193" s="7"/>
      <c r="I193" s="7"/>
    </row>
    <row r="194" spans="1:9" x14ac:dyDescent="0.15">
      <c r="A194" s="7"/>
      <c r="B194" s="7"/>
      <c r="C194" s="7"/>
      <c r="D194" s="7"/>
      <c r="E194" s="7"/>
      <c r="F194" s="7"/>
      <c r="G194" s="7"/>
      <c r="H194" s="7"/>
      <c r="I194" s="7"/>
    </row>
    <row r="195" spans="1:9" x14ac:dyDescent="0.15">
      <c r="A195" s="7"/>
      <c r="B195" s="7"/>
      <c r="C195" s="7"/>
      <c r="D195" s="7"/>
      <c r="E195" s="7"/>
      <c r="F195" s="7"/>
      <c r="G195" s="7"/>
      <c r="H195" s="7"/>
      <c r="I195" s="7"/>
    </row>
    <row r="196" spans="1:9" x14ac:dyDescent="0.15">
      <c r="A196" s="7"/>
      <c r="B196" s="7"/>
      <c r="C196" s="7"/>
      <c r="D196" s="7"/>
      <c r="E196" s="7"/>
      <c r="F196" s="7"/>
      <c r="G196" s="7"/>
      <c r="H196" s="7"/>
      <c r="I196" s="7"/>
    </row>
    <row r="197" spans="1:9" x14ac:dyDescent="0.15">
      <c r="A197" s="7"/>
      <c r="B197" s="7"/>
      <c r="C197" s="7"/>
      <c r="D197" s="7"/>
      <c r="E197" s="7"/>
      <c r="F197" s="7"/>
      <c r="G197" s="7"/>
      <c r="H197" s="7"/>
      <c r="I197" s="7"/>
    </row>
    <row r="198" spans="1:9" x14ac:dyDescent="0.15">
      <c r="A198" s="7"/>
      <c r="B198" s="7"/>
      <c r="C198" s="7"/>
      <c r="D198" s="7"/>
      <c r="E198" s="7"/>
      <c r="F198" s="7"/>
      <c r="G198" s="7"/>
      <c r="H198" s="7"/>
      <c r="I198" s="7"/>
    </row>
    <row r="199" spans="1:9" x14ac:dyDescent="0.15">
      <c r="A199" s="7"/>
      <c r="B199" s="7"/>
      <c r="C199" s="7"/>
      <c r="D199" s="7"/>
      <c r="E199" s="7"/>
      <c r="F199" s="7"/>
      <c r="G199" s="7"/>
      <c r="H199" s="7"/>
      <c r="I199" s="7"/>
    </row>
    <row r="200" spans="1:9" x14ac:dyDescent="0.15">
      <c r="A200" s="7"/>
      <c r="B200" s="7"/>
      <c r="C200" s="7"/>
      <c r="D200" s="7"/>
      <c r="E200" s="7"/>
      <c r="F200" s="7"/>
      <c r="G200" s="7"/>
      <c r="H200" s="7"/>
      <c r="I200" s="7"/>
    </row>
    <row r="201" spans="1:9" x14ac:dyDescent="0.15">
      <c r="A201" s="7"/>
      <c r="B201" s="7"/>
      <c r="C201" s="7"/>
      <c r="D201" s="7"/>
      <c r="E201" s="7"/>
      <c r="F201" s="7"/>
      <c r="G201" s="7"/>
      <c r="H201" s="7"/>
      <c r="I201" s="7"/>
    </row>
    <row r="202" spans="1:9" x14ac:dyDescent="0.1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1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1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15">
      <c r="A205" s="1"/>
      <c r="B205" s="1"/>
      <c r="C205" s="1"/>
      <c r="D205" s="1"/>
      <c r="E205" s="1"/>
      <c r="F205" s="1"/>
      <c r="G205" s="1"/>
      <c r="H205" s="1"/>
      <c r="I205" s="1"/>
    </row>
  </sheetData>
  <sheetProtection sheet="1" objects="1" scenarios="1"/>
  <mergeCells count="220">
    <mergeCell ref="C119:D119"/>
    <mergeCell ref="H119:I119"/>
    <mergeCell ref="H120:I120"/>
    <mergeCell ref="H121:I121"/>
    <mergeCell ref="B131:E131"/>
    <mergeCell ref="F128:I128"/>
    <mergeCell ref="F129:I129"/>
    <mergeCell ref="F130:I130"/>
    <mergeCell ref="F131:I131"/>
    <mergeCell ref="F101:I101"/>
    <mergeCell ref="F102:I102"/>
    <mergeCell ref="F103:I103"/>
    <mergeCell ref="F104:I104"/>
    <mergeCell ref="B101:E101"/>
    <mergeCell ref="B102:E102"/>
    <mergeCell ref="B103:E103"/>
    <mergeCell ref="B104:E104"/>
    <mergeCell ref="C107:E107"/>
    <mergeCell ref="H117:I117"/>
    <mergeCell ref="C110:D110"/>
    <mergeCell ref="C121:D121"/>
    <mergeCell ref="C122:D122"/>
    <mergeCell ref="C116:D116"/>
    <mergeCell ref="C117:D117"/>
    <mergeCell ref="C118:D118"/>
    <mergeCell ref="B129:E129"/>
    <mergeCell ref="B130:E130"/>
    <mergeCell ref="A126:A127"/>
    <mergeCell ref="F100:I100"/>
    <mergeCell ref="A151:I156"/>
    <mergeCell ref="H149:I149"/>
    <mergeCell ref="H150:I150"/>
    <mergeCell ref="C150:D150"/>
    <mergeCell ref="C142:D142"/>
    <mergeCell ref="C143:D143"/>
    <mergeCell ref="C145:D145"/>
    <mergeCell ref="C146:D146"/>
    <mergeCell ref="C147:D147"/>
    <mergeCell ref="C148:D148"/>
    <mergeCell ref="C144:D144"/>
    <mergeCell ref="H106:I107"/>
    <mergeCell ref="H108:I108"/>
    <mergeCell ref="H109:I109"/>
    <mergeCell ref="H110:I110"/>
    <mergeCell ref="H141:I141"/>
    <mergeCell ref="H122:I122"/>
    <mergeCell ref="A123:I123"/>
    <mergeCell ref="A124:I124"/>
    <mergeCell ref="H118:I118"/>
    <mergeCell ref="D46:E46"/>
    <mergeCell ref="H142:I142"/>
    <mergeCell ref="H143:I143"/>
    <mergeCell ref="H144:I144"/>
    <mergeCell ref="H145:I145"/>
    <mergeCell ref="H146:I146"/>
    <mergeCell ref="H147:I147"/>
    <mergeCell ref="H148:I148"/>
    <mergeCell ref="H133:I134"/>
    <mergeCell ref="H135:I135"/>
    <mergeCell ref="H136:I136"/>
    <mergeCell ref="H137:I137"/>
    <mergeCell ref="H138:I138"/>
    <mergeCell ref="H139:I139"/>
    <mergeCell ref="H140:I140"/>
    <mergeCell ref="C137:D137"/>
    <mergeCell ref="C138:D138"/>
    <mergeCell ref="C139:D139"/>
    <mergeCell ref="C140:D140"/>
    <mergeCell ref="C141:D141"/>
    <mergeCell ref="F126:G126"/>
    <mergeCell ref="F127:I127"/>
    <mergeCell ref="B126:E127"/>
    <mergeCell ref="B128:E128"/>
    <mergeCell ref="A58:I58"/>
    <mergeCell ref="F47:G47"/>
    <mergeCell ref="F54:G54"/>
    <mergeCell ref="F80:G80"/>
    <mergeCell ref="A79:G79"/>
    <mergeCell ref="A59:I59"/>
    <mergeCell ref="A65:I65"/>
    <mergeCell ref="A71:I71"/>
    <mergeCell ref="D81:E81"/>
    <mergeCell ref="F81:G81"/>
    <mergeCell ref="A80:C81"/>
    <mergeCell ref="A66:G67"/>
    <mergeCell ref="D47:E47"/>
    <mergeCell ref="D52:E52"/>
    <mergeCell ref="F56:G56"/>
    <mergeCell ref="A64:I64"/>
    <mergeCell ref="A157:H157"/>
    <mergeCell ref="A51:A52"/>
    <mergeCell ref="D80:E80"/>
    <mergeCell ref="A91:C91"/>
    <mergeCell ref="F91:G91"/>
    <mergeCell ref="A26:I26"/>
    <mergeCell ref="B56:C56"/>
    <mergeCell ref="D56:E56"/>
    <mergeCell ref="B46:C46"/>
    <mergeCell ref="B55:C55"/>
    <mergeCell ref="D55:E55"/>
    <mergeCell ref="F51:G51"/>
    <mergeCell ref="F52:G52"/>
    <mergeCell ref="F53:G53"/>
    <mergeCell ref="A33:I33"/>
    <mergeCell ref="C27:E27"/>
    <mergeCell ref="A72:G73"/>
    <mergeCell ref="A74:G74"/>
    <mergeCell ref="A75:G75"/>
    <mergeCell ref="F34:I34"/>
    <mergeCell ref="C135:D135"/>
    <mergeCell ref="B47:C47"/>
    <mergeCell ref="H111:I111"/>
    <mergeCell ref="A68:G68"/>
    <mergeCell ref="F55:G55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D45:E45"/>
    <mergeCell ref="B45:C45"/>
    <mergeCell ref="B53:C53"/>
    <mergeCell ref="D53:E53"/>
    <mergeCell ref="F45:G45"/>
    <mergeCell ref="F46:G46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A42:G42"/>
    <mergeCell ref="F28:I28"/>
    <mergeCell ref="F29:I29"/>
    <mergeCell ref="F43:G43"/>
    <mergeCell ref="F44:G44"/>
    <mergeCell ref="A41:G41"/>
    <mergeCell ref="D90:E90"/>
    <mergeCell ref="D93:E93"/>
    <mergeCell ref="D92:E92"/>
    <mergeCell ref="A96:I96"/>
    <mergeCell ref="A89:G89"/>
    <mergeCell ref="A97:I97"/>
    <mergeCell ref="A98:I98"/>
    <mergeCell ref="D91:E91"/>
    <mergeCell ref="D85:E85"/>
    <mergeCell ref="F85:G85"/>
    <mergeCell ref="A84:C85"/>
    <mergeCell ref="F84:G84"/>
    <mergeCell ref="D84:E84"/>
    <mergeCell ref="H99:I99"/>
    <mergeCell ref="B99:E100"/>
    <mergeCell ref="C149:D149"/>
    <mergeCell ref="C136:D136"/>
    <mergeCell ref="C120:D120"/>
    <mergeCell ref="C111:D111"/>
    <mergeCell ref="C113:D113"/>
    <mergeCell ref="C114:D114"/>
    <mergeCell ref="C115:D115"/>
    <mergeCell ref="C112:D112"/>
    <mergeCell ref="B133:B135"/>
    <mergeCell ref="C133:E133"/>
    <mergeCell ref="F133:G133"/>
    <mergeCell ref="A125:I125"/>
    <mergeCell ref="H113:I113"/>
    <mergeCell ref="H114:I114"/>
    <mergeCell ref="H115:I115"/>
    <mergeCell ref="H116:I116"/>
    <mergeCell ref="H112:I112"/>
    <mergeCell ref="A105:I105"/>
    <mergeCell ref="C134:E134"/>
    <mergeCell ref="F134:G134"/>
    <mergeCell ref="A132:H132"/>
    <mergeCell ref="A133:A135"/>
    <mergeCell ref="A60:F62"/>
    <mergeCell ref="A92:C92"/>
    <mergeCell ref="F92:G92"/>
    <mergeCell ref="C109:D109"/>
    <mergeCell ref="C106:E106"/>
    <mergeCell ref="F106:G106"/>
    <mergeCell ref="A49:G49"/>
    <mergeCell ref="B54:C54"/>
    <mergeCell ref="D54:E54"/>
    <mergeCell ref="B51:C51"/>
    <mergeCell ref="D51:E51"/>
    <mergeCell ref="B52:C52"/>
    <mergeCell ref="A50:G50"/>
    <mergeCell ref="F107:G107"/>
    <mergeCell ref="A106:A108"/>
    <mergeCell ref="A76:I76"/>
    <mergeCell ref="A77:I77"/>
    <mergeCell ref="A70:I70"/>
    <mergeCell ref="A99:A100"/>
    <mergeCell ref="F93:G93"/>
    <mergeCell ref="F90:G90"/>
    <mergeCell ref="B106:B108"/>
    <mergeCell ref="C108:D108"/>
    <mergeCell ref="F99:G99"/>
  </mergeCells>
  <phoneticPr fontId="6" type="noConversion"/>
  <pageMargins left="0.43307086614173229" right="0.39370078740157483" top="0.39370078740157483" bottom="0.39370078740157483" header="0.19685039370078741" footer="7.874015748031496E-2"/>
  <pageSetup paperSize="9" scale="74" fitToHeight="0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3" manualBreakCount="3">
    <brk id="56" max="16383" man="1"/>
    <brk id="94" max="16383" man="1"/>
    <brk id="1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view="pageBreakPreview" zoomScaleSheetLayoutView="125" workbookViewId="0">
      <selection activeCell="A2" sqref="A2:G2"/>
    </sheetView>
  </sheetViews>
  <sheetFormatPr baseColWidth="10" defaultColWidth="8.83203125" defaultRowHeight="14" x14ac:dyDescent="0.15"/>
  <cols>
    <col min="1" max="1" width="21.6640625" style="2" customWidth="1"/>
    <col min="2" max="2" width="20.6640625" style="2" customWidth="1"/>
    <col min="3" max="3" width="14" style="2" customWidth="1"/>
    <col min="4" max="4" width="21.6640625" style="2" customWidth="1"/>
    <col min="5" max="5" width="17.1640625" style="2" customWidth="1"/>
    <col min="6" max="6" width="21.33203125" style="2" customWidth="1"/>
    <col min="7" max="7" width="0.1640625" style="2" customWidth="1"/>
    <col min="8" max="8" width="17.1640625" style="2" hidden="1" customWidth="1"/>
    <col min="9" max="9" width="26.6640625" style="2" hidden="1" customWidth="1"/>
    <col min="10" max="16384" width="8.83203125" style="2"/>
  </cols>
  <sheetData>
    <row r="1" spans="1:16" ht="33" customHeight="1" x14ac:dyDescent="0.2">
      <c r="A1" s="1118" t="s">
        <v>20</v>
      </c>
      <c r="B1" s="1119"/>
      <c r="C1" s="1119"/>
      <c r="D1" s="1119"/>
      <c r="E1" s="1119"/>
      <c r="F1" s="1119"/>
      <c r="G1" s="1120"/>
      <c r="H1" s="42"/>
    </row>
    <row r="2" spans="1:16" ht="32" customHeight="1" x14ac:dyDescent="0.2">
      <c r="A2" s="1133" t="s">
        <v>110</v>
      </c>
      <c r="B2" s="1134"/>
      <c r="C2" s="1134"/>
      <c r="D2" s="1134"/>
      <c r="E2" s="1134"/>
      <c r="F2" s="1134"/>
      <c r="G2" s="1135"/>
    </row>
    <row r="3" spans="1:16" ht="33" customHeight="1" thickBot="1" x14ac:dyDescent="0.25">
      <c r="A3" s="1265" t="str">
        <f>'Forside 1'!A6:I6</f>
        <v>Gældende fra 1. april 2018</v>
      </c>
      <c r="B3" s="1266"/>
      <c r="C3" s="1266"/>
      <c r="D3" s="1266"/>
      <c r="E3" s="1266"/>
      <c r="F3" s="1266"/>
      <c r="G3" s="1267"/>
    </row>
    <row r="4" spans="1:16" s="27" customFormat="1" ht="20" customHeight="1" thickBot="1" x14ac:dyDescent="0.25">
      <c r="A4" s="853"/>
      <c r="B4" s="853"/>
      <c r="C4" s="853"/>
      <c r="D4" s="853"/>
      <c r="E4" s="853"/>
      <c r="F4" s="853"/>
      <c r="G4" s="44"/>
      <c r="N4" s="1248"/>
      <c r="O4" s="1248"/>
      <c r="P4" s="1248"/>
    </row>
    <row r="5" spans="1:16" s="27" customFormat="1" ht="18" customHeight="1" x14ac:dyDescent="0.15">
      <c r="A5" s="1280" t="s">
        <v>111</v>
      </c>
      <c r="B5" s="1281"/>
      <c r="C5" s="1281"/>
      <c r="D5" s="1281"/>
      <c r="E5" s="1281"/>
      <c r="F5" s="1282"/>
      <c r="G5" s="89"/>
      <c r="N5" s="1249"/>
      <c r="O5" s="1249"/>
      <c r="P5" s="1249"/>
    </row>
    <row r="6" spans="1:16" ht="14" customHeight="1" x14ac:dyDescent="0.15">
      <c r="A6" s="1283"/>
      <c r="B6" s="1284"/>
      <c r="C6" s="1284"/>
      <c r="D6" s="1284"/>
      <c r="E6" s="1284"/>
      <c r="F6" s="1285"/>
      <c r="G6" s="89"/>
      <c r="N6" s="1250"/>
      <c r="O6" s="1250"/>
      <c r="P6" s="1250"/>
    </row>
    <row r="7" spans="1:16" ht="14" customHeight="1" thickBot="1" x14ac:dyDescent="0.2">
      <c r="A7" s="1167" t="s">
        <v>345</v>
      </c>
      <c r="B7" s="1168"/>
      <c r="C7" s="1168"/>
      <c r="D7" s="1168"/>
      <c r="E7" s="1168"/>
      <c r="F7" s="1169"/>
      <c r="G7" s="89"/>
      <c r="N7" s="658"/>
      <c r="O7" s="658"/>
      <c r="P7" s="658"/>
    </row>
    <row r="8" spans="1:16" customFormat="1" ht="15" customHeight="1" x14ac:dyDescent="0.2">
      <c r="A8" s="1276"/>
      <c r="B8" s="1277"/>
      <c r="C8" s="1272" t="s">
        <v>138</v>
      </c>
      <c r="D8" s="1273"/>
      <c r="E8" s="1272" t="s">
        <v>398</v>
      </c>
      <c r="F8" s="1273"/>
      <c r="G8" s="77"/>
      <c r="H8" s="38"/>
    </row>
    <row r="9" spans="1:16" customFormat="1" ht="15" customHeight="1" thickBot="1" x14ac:dyDescent="0.25">
      <c r="A9" s="1278"/>
      <c r="B9" s="1279"/>
      <c r="C9" s="1242">
        <v>40999</v>
      </c>
      <c r="D9" s="1243"/>
      <c r="E9" s="1244" t="str">
        <f>'Løntabel gældende fra'!D1</f>
        <v>01/04/2018</v>
      </c>
      <c r="F9" s="1243"/>
      <c r="G9" s="427"/>
      <c r="H9" s="38"/>
    </row>
    <row r="10" spans="1:16" customFormat="1" ht="24" customHeight="1" thickBot="1" x14ac:dyDescent="0.25">
      <c r="A10" s="1274" t="s">
        <v>119</v>
      </c>
      <c r="B10" s="1275"/>
      <c r="C10" s="1245" t="s">
        <v>355</v>
      </c>
      <c r="D10" s="1246"/>
      <c r="E10" s="1245" t="s">
        <v>355</v>
      </c>
      <c r="F10" s="1246"/>
      <c r="G10" s="427"/>
      <c r="H10" s="38"/>
    </row>
    <row r="11" spans="1:16" customFormat="1" ht="17" customHeight="1" x14ac:dyDescent="0.2">
      <c r="A11" s="1270" t="s">
        <v>120</v>
      </c>
      <c r="B11" s="1271"/>
      <c r="C11" s="116">
        <v>368295</v>
      </c>
      <c r="D11" s="117">
        <v>438154</v>
      </c>
      <c r="E11" s="116">
        <f>C11+C11*'Løntabel gældende fra'!$D$7%</f>
        <v>393958.90048499999</v>
      </c>
      <c r="F11" s="118">
        <f>D11+D11*'Løntabel gældende fra'!$D$7%</f>
        <v>468685.885182</v>
      </c>
      <c r="G11" s="59"/>
      <c r="H11" s="38"/>
    </row>
    <row r="12" spans="1:16" customFormat="1" ht="17" customHeight="1" x14ac:dyDescent="0.2">
      <c r="A12" s="1263" t="s">
        <v>121</v>
      </c>
      <c r="B12" s="1264"/>
      <c r="C12" s="119">
        <v>403683</v>
      </c>
      <c r="D12" s="110">
        <v>484027</v>
      </c>
      <c r="E12" s="120">
        <f>C12+C12*'Løntabel gældende fra'!$D$7%</f>
        <v>431812.842489</v>
      </c>
      <c r="F12" s="111">
        <f>D12+D12*'Løntabel gældende fra'!$D$7%</f>
        <v>517755.45344100002</v>
      </c>
      <c r="G12" s="59"/>
      <c r="H12" s="38"/>
    </row>
    <row r="13" spans="1:16" customFormat="1" ht="17" customHeight="1" thickBot="1" x14ac:dyDescent="0.25">
      <c r="A13" s="1268" t="s">
        <v>122</v>
      </c>
      <c r="B13" s="1269"/>
      <c r="C13" s="121">
        <v>439071</v>
      </c>
      <c r="D13" s="122">
        <v>528589</v>
      </c>
      <c r="E13" s="121">
        <f>C13+C13*'Løntabel gældende fra'!$D$7%</f>
        <v>469666.78449300001</v>
      </c>
      <c r="F13" s="123">
        <f>D13+D13*'Løntabel gældende fra'!$D$7%</f>
        <v>565422.66728699999</v>
      </c>
      <c r="G13" s="59"/>
      <c r="H13" s="38"/>
    </row>
    <row r="14" spans="1:16" s="63" customFormat="1" ht="26" customHeight="1" thickBot="1" x14ac:dyDescent="0.2">
      <c r="A14" s="88"/>
      <c r="B14" s="88"/>
      <c r="C14" s="88"/>
      <c r="D14" s="88"/>
      <c r="E14" s="88"/>
      <c r="F14" s="88"/>
      <c r="G14" s="88"/>
      <c r="H14" s="79"/>
    </row>
    <row r="15" spans="1:16" ht="18" customHeight="1" x14ac:dyDescent="0.15">
      <c r="A15" s="1107" t="s">
        <v>123</v>
      </c>
      <c r="B15" s="1108"/>
      <c r="C15" s="1108"/>
      <c r="D15" s="1108"/>
      <c r="E15" s="1108"/>
      <c r="F15" s="1109"/>
      <c r="G15" s="89"/>
      <c r="H15" s="27"/>
    </row>
    <row r="16" spans="1:16" ht="14" customHeight="1" x14ac:dyDescent="0.15">
      <c r="A16" s="1260"/>
      <c r="B16" s="1261"/>
      <c r="C16" s="1261"/>
      <c r="D16" s="1261"/>
      <c r="E16" s="1261"/>
      <c r="F16" s="1262"/>
      <c r="G16" s="89"/>
      <c r="H16" s="27"/>
    </row>
    <row r="17" spans="1:16" ht="14" customHeight="1" thickBot="1" x14ac:dyDescent="0.2">
      <c r="A17" s="1167" t="s">
        <v>345</v>
      </c>
      <c r="B17" s="1168"/>
      <c r="C17" s="1168"/>
      <c r="D17" s="1168"/>
      <c r="E17" s="1168"/>
      <c r="F17" s="1169"/>
      <c r="G17" s="89"/>
      <c r="N17" s="658"/>
      <c r="O17" s="658"/>
      <c r="P17" s="658"/>
    </row>
    <row r="18" spans="1:16" customFormat="1" ht="15" customHeight="1" x14ac:dyDescent="0.2">
      <c r="A18" s="1208"/>
      <c r="B18" s="1210"/>
      <c r="C18" s="1247" t="s">
        <v>138</v>
      </c>
      <c r="D18" s="1082"/>
      <c r="E18" s="1247" t="s">
        <v>398</v>
      </c>
      <c r="F18" s="1082"/>
      <c r="G18" s="77"/>
      <c r="H18" s="2" t="s">
        <v>136</v>
      </c>
      <c r="I18" s="2"/>
    </row>
    <row r="19" spans="1:16" customFormat="1" ht="15" customHeight="1" thickBot="1" x14ac:dyDescent="0.25">
      <c r="A19" s="1211"/>
      <c r="B19" s="1213"/>
      <c r="C19" s="1242">
        <v>40999</v>
      </c>
      <c r="D19" s="1243"/>
      <c r="E19" s="1244" t="str">
        <f>'Løntabel gældende fra'!D1</f>
        <v>01/04/2018</v>
      </c>
      <c r="F19" s="1243"/>
      <c r="G19" s="427"/>
      <c r="H19" s="38"/>
    </row>
    <row r="20" spans="1:16" customFormat="1" ht="24" customHeight="1" thickBot="1" x14ac:dyDescent="0.25">
      <c r="A20" s="244" t="s">
        <v>119</v>
      </c>
      <c r="B20" s="97" t="s">
        <v>124</v>
      </c>
      <c r="C20" s="1245" t="s">
        <v>355</v>
      </c>
      <c r="D20" s="1246"/>
      <c r="E20" s="1245" t="s">
        <v>355</v>
      </c>
      <c r="F20" s="1246"/>
      <c r="G20" s="427"/>
      <c r="H20" s="2"/>
      <c r="I20" s="2"/>
    </row>
    <row r="21" spans="1:16" customFormat="1" ht="17" customHeight="1" x14ac:dyDescent="0.2">
      <c r="A21" s="142" t="s">
        <v>125</v>
      </c>
      <c r="B21" s="143" t="s">
        <v>126</v>
      </c>
      <c r="C21" s="149">
        <f t="shared" ref="C21:D23" si="0">C11+H21</f>
        <v>403683</v>
      </c>
      <c r="D21" s="150">
        <f t="shared" si="0"/>
        <v>464367</v>
      </c>
      <c r="E21" s="146">
        <f>C21+C21*'Løntabel gældende fra'!$D$7%</f>
        <v>431812.842489</v>
      </c>
      <c r="F21" s="147">
        <f>D21+D21*'Løntabel gældende fra'!$D$7%</f>
        <v>496725.48566100001</v>
      </c>
      <c r="G21" s="59"/>
      <c r="H21" s="38">
        <v>35388</v>
      </c>
      <c r="I21">
        <v>26213</v>
      </c>
    </row>
    <row r="22" spans="1:16" customFormat="1" ht="17" customHeight="1" x14ac:dyDescent="0.2">
      <c r="A22" s="140" t="s">
        <v>121</v>
      </c>
      <c r="B22" s="141" t="s">
        <v>126</v>
      </c>
      <c r="C22" s="119">
        <f t="shared" si="0"/>
        <v>439071</v>
      </c>
      <c r="D22" s="148">
        <f t="shared" si="0"/>
        <v>510240</v>
      </c>
      <c r="E22" s="115">
        <f>C22+C22*'Løntabel gældende fra'!$D$7%</f>
        <v>469666.78449300001</v>
      </c>
      <c r="F22" s="111">
        <f>D22+D22*'Løntabel gældende fra'!$D$7%</f>
        <v>545795.05391999998</v>
      </c>
      <c r="G22" s="59"/>
      <c r="H22" s="38">
        <v>35388</v>
      </c>
      <c r="I22">
        <v>26213</v>
      </c>
    </row>
    <row r="23" spans="1:16" customFormat="1" ht="17" customHeight="1" x14ac:dyDescent="0.2">
      <c r="A23" s="91" t="s">
        <v>122</v>
      </c>
      <c r="B23" s="112" t="s">
        <v>126</v>
      </c>
      <c r="C23" s="149">
        <f t="shared" si="0"/>
        <v>474459</v>
      </c>
      <c r="D23" s="150">
        <f t="shared" si="0"/>
        <v>554802</v>
      </c>
      <c r="E23" s="151">
        <f>C23+C23*'Løntabel gældende fra'!$D$7%</f>
        <v>507520.72649699997</v>
      </c>
      <c r="F23" s="152">
        <f>D23+D23*'Løntabel gældende fra'!$D$7%</f>
        <v>593462.267766</v>
      </c>
      <c r="G23" s="59"/>
      <c r="H23" s="38">
        <v>35388</v>
      </c>
      <c r="I23">
        <v>26213</v>
      </c>
    </row>
    <row r="24" spans="1:16" s="63" customFormat="1" ht="17" customHeight="1" x14ac:dyDescent="0.2">
      <c r="A24" s="92" t="s">
        <v>127</v>
      </c>
      <c r="B24" s="113" t="s">
        <v>128</v>
      </c>
      <c r="C24" s="120">
        <f t="shared" ref="C24:D26" si="1">C11+H24</f>
        <v>420721</v>
      </c>
      <c r="D24" s="111">
        <f t="shared" si="1"/>
        <v>481406</v>
      </c>
      <c r="E24" s="115">
        <f>C24+C24*'Løntabel gældende fra'!$D$7%</f>
        <v>450038.10144300002</v>
      </c>
      <c r="F24" s="111">
        <f>D24+D24*'Løntabel gældende fra'!$D$7%</f>
        <v>514951.81429800001</v>
      </c>
      <c r="G24" s="73"/>
      <c r="H24">
        <v>52426</v>
      </c>
      <c r="I24">
        <v>43252</v>
      </c>
    </row>
    <row r="25" spans="1:16" s="63" customFormat="1" ht="17" customHeight="1" x14ac:dyDescent="0.2">
      <c r="A25" s="92" t="s">
        <v>121</v>
      </c>
      <c r="B25" s="113" t="s">
        <v>128</v>
      </c>
      <c r="C25" s="149">
        <f t="shared" si="1"/>
        <v>456109</v>
      </c>
      <c r="D25" s="150">
        <f t="shared" si="1"/>
        <v>527279</v>
      </c>
      <c r="E25" s="153">
        <f>C25+C25*'Løntabel gældende fra'!$D$7%</f>
        <v>487892.04344699997</v>
      </c>
      <c r="F25" s="150">
        <f>D25+D25*'Løntabel gældende fra'!$D$7%</f>
        <v>564021.38255700003</v>
      </c>
      <c r="G25" s="73"/>
      <c r="H25">
        <v>52426</v>
      </c>
      <c r="I25">
        <v>43252</v>
      </c>
    </row>
    <row r="26" spans="1:16" s="63" customFormat="1" ht="17" customHeight="1" x14ac:dyDescent="0.2">
      <c r="A26" s="92" t="s">
        <v>122</v>
      </c>
      <c r="B26" s="113" t="s">
        <v>128</v>
      </c>
      <c r="C26" s="120">
        <f t="shared" si="1"/>
        <v>491497</v>
      </c>
      <c r="D26" s="111">
        <f t="shared" si="1"/>
        <v>571841</v>
      </c>
      <c r="E26" s="115">
        <f>C26+C26*'Løntabel gældende fra'!$D$7%</f>
        <v>525745.98545100004</v>
      </c>
      <c r="F26" s="111">
        <f>D26+D26*'Løntabel gældende fra'!$D$7%</f>
        <v>611688.59640299994</v>
      </c>
      <c r="G26" s="73"/>
      <c r="H26">
        <v>52426</v>
      </c>
      <c r="I26">
        <v>43252</v>
      </c>
    </row>
    <row r="27" spans="1:16" s="63" customFormat="1" ht="17" customHeight="1" x14ac:dyDescent="0.2">
      <c r="A27" s="92" t="s">
        <v>127</v>
      </c>
      <c r="B27" s="113" t="s">
        <v>129</v>
      </c>
      <c r="C27" s="120">
        <f t="shared" ref="C27:D29" si="2">C11+H27</f>
        <v>439071</v>
      </c>
      <c r="D27" s="111">
        <f t="shared" si="2"/>
        <v>499755</v>
      </c>
      <c r="E27" s="146">
        <f>C27+C27*'Løntabel gældende fra'!$D$7%</f>
        <v>469666.78449300001</v>
      </c>
      <c r="F27" s="147">
        <f>D27+D27*'Løntabel gældende fra'!$D$7%</f>
        <v>534579.42766499997</v>
      </c>
      <c r="G27" s="73"/>
      <c r="H27" s="63">
        <v>70776</v>
      </c>
      <c r="I27" s="63">
        <v>61601</v>
      </c>
    </row>
    <row r="28" spans="1:16" s="63" customFormat="1" ht="17" customHeight="1" x14ac:dyDescent="0.2">
      <c r="A28" s="92" t="s">
        <v>121</v>
      </c>
      <c r="B28" s="113" t="s">
        <v>129</v>
      </c>
      <c r="C28" s="120">
        <f t="shared" si="2"/>
        <v>474459</v>
      </c>
      <c r="D28" s="111">
        <f t="shared" si="2"/>
        <v>545628</v>
      </c>
      <c r="E28" s="115">
        <f>C28+C28*'Løntabel gældende fra'!$D$7%</f>
        <v>507520.72649699997</v>
      </c>
      <c r="F28" s="111">
        <f>D28+D28*'Løntabel gældende fra'!$D$7%</f>
        <v>583648.99592400005</v>
      </c>
      <c r="G28" s="73"/>
      <c r="H28" s="63">
        <v>70776</v>
      </c>
      <c r="I28" s="63">
        <v>61601</v>
      </c>
    </row>
    <row r="29" spans="1:16" s="63" customFormat="1" ht="17" customHeight="1" thickBot="1" x14ac:dyDescent="0.25">
      <c r="A29" s="93" t="s">
        <v>122</v>
      </c>
      <c r="B29" s="114" t="s">
        <v>129</v>
      </c>
      <c r="C29" s="121">
        <f t="shared" si="2"/>
        <v>509847</v>
      </c>
      <c r="D29" s="123">
        <f t="shared" si="2"/>
        <v>590190</v>
      </c>
      <c r="E29" s="122">
        <f>C29+C29*'Løntabel gældende fra'!$D$7%</f>
        <v>545374.66850100004</v>
      </c>
      <c r="F29" s="123">
        <f>D29+D29*'Løntabel gældende fra'!$D$7%</f>
        <v>631316.20976999996</v>
      </c>
      <c r="G29" s="73"/>
      <c r="H29" s="63">
        <v>70776</v>
      </c>
      <c r="I29" s="63">
        <v>61601</v>
      </c>
    </row>
    <row r="30" spans="1:16" s="63" customFormat="1" ht="27" customHeight="1" thickBot="1" x14ac:dyDescent="0.25">
      <c r="A30" s="73"/>
      <c r="B30" s="73"/>
      <c r="C30" s="73"/>
      <c r="D30" s="73"/>
      <c r="E30" s="73"/>
      <c r="F30" s="73"/>
      <c r="G30" s="73"/>
    </row>
    <row r="31" spans="1:16" ht="24" customHeight="1" x14ac:dyDescent="0.15">
      <c r="A31" s="1254" t="s">
        <v>139</v>
      </c>
      <c r="B31" s="1255"/>
      <c r="C31" s="1255"/>
      <c r="D31" s="1255"/>
      <c r="E31" s="1255"/>
      <c r="F31" s="1256"/>
      <c r="G31" s="89"/>
      <c r="N31" s="1249"/>
      <c r="O31" s="1249"/>
      <c r="P31" s="1249"/>
    </row>
    <row r="32" spans="1:16" ht="23" customHeight="1" x14ac:dyDescent="0.15">
      <c r="A32" s="1257"/>
      <c r="B32" s="1258"/>
      <c r="C32" s="1258"/>
      <c r="D32" s="1258"/>
      <c r="E32" s="1258"/>
      <c r="F32" s="1259"/>
      <c r="G32" s="89"/>
      <c r="N32" s="1250"/>
      <c r="O32" s="1250"/>
      <c r="P32" s="1250"/>
    </row>
    <row r="33" spans="1:17" ht="14" customHeight="1" thickBot="1" x14ac:dyDescent="0.2">
      <c r="A33" s="1167" t="s">
        <v>345</v>
      </c>
      <c r="B33" s="1168"/>
      <c r="C33" s="1168"/>
      <c r="D33" s="1168"/>
      <c r="E33" s="1168"/>
      <c r="F33" s="1169"/>
      <c r="G33" s="89"/>
      <c r="N33" s="658"/>
      <c r="O33" s="658"/>
      <c r="P33" s="658"/>
    </row>
    <row r="34" spans="1:17" customFormat="1" ht="15" customHeight="1" x14ac:dyDescent="0.2">
      <c r="A34" s="1208"/>
      <c r="B34" s="1210"/>
      <c r="C34" s="1247" t="s">
        <v>138</v>
      </c>
      <c r="D34" s="1082"/>
      <c r="E34" s="1247" t="s">
        <v>398</v>
      </c>
      <c r="F34" s="1082"/>
      <c r="G34" s="77"/>
      <c r="H34" s="38"/>
    </row>
    <row r="35" spans="1:17" customFormat="1" ht="15" customHeight="1" thickBot="1" x14ac:dyDescent="0.25">
      <c r="A35" s="1211"/>
      <c r="B35" s="1213"/>
      <c r="C35" s="1242">
        <v>40999</v>
      </c>
      <c r="D35" s="1243"/>
      <c r="E35" s="1244" t="str">
        <f>'Løntabel gældende fra'!D1</f>
        <v>01/04/2018</v>
      </c>
      <c r="F35" s="1243"/>
      <c r="G35" s="427"/>
      <c r="H35" s="38"/>
    </row>
    <row r="36" spans="1:17" customFormat="1" ht="24" customHeight="1" thickBot="1" x14ac:dyDescent="0.25">
      <c r="A36" s="498"/>
      <c r="B36" s="510" t="s">
        <v>119</v>
      </c>
      <c r="C36" s="1293" t="s">
        <v>355</v>
      </c>
      <c r="D36" s="1294"/>
      <c r="E36" s="1245" t="s">
        <v>355</v>
      </c>
      <c r="F36" s="1246"/>
      <c r="G36" s="427"/>
      <c r="H36" s="38"/>
    </row>
    <row r="37" spans="1:17" customFormat="1" ht="24" customHeight="1" x14ac:dyDescent="0.2">
      <c r="A37" s="1252" t="s">
        <v>467</v>
      </c>
      <c r="B37" s="662" t="s">
        <v>130</v>
      </c>
      <c r="C37" s="116">
        <v>368295</v>
      </c>
      <c r="D37" s="117">
        <v>438154</v>
      </c>
      <c r="E37" s="116">
        <f>C37+C37*'Løntabel gældende fra'!$D$7%</f>
        <v>393958.90048499999</v>
      </c>
      <c r="F37" s="118">
        <f>D37+D37*'Løntabel gældende fra'!$D$7%</f>
        <v>468685.885182</v>
      </c>
      <c r="G37" s="59"/>
      <c r="H37" s="38"/>
    </row>
    <row r="38" spans="1:17" customFormat="1" ht="22" customHeight="1" thickBot="1" x14ac:dyDescent="0.25">
      <c r="A38" s="1253"/>
      <c r="B38" s="105" t="s">
        <v>122</v>
      </c>
      <c r="C38" s="119">
        <v>394509</v>
      </c>
      <c r="D38" s="110">
        <v>457814</v>
      </c>
      <c r="E38" s="120">
        <f>C38+C38*'Løntabel gældende fra'!$D$7%</f>
        <v>421999.57064699999</v>
      </c>
      <c r="F38" s="111">
        <f>D38+D38*'Løntabel gældende fra'!$D$7%</f>
        <v>489715.852962</v>
      </c>
      <c r="G38" s="59"/>
      <c r="H38" s="38"/>
    </row>
    <row r="39" spans="1:17" s="63" customFormat="1" ht="31" customHeight="1" thickBot="1" x14ac:dyDescent="0.25">
      <c r="A39" s="1296" t="s">
        <v>140</v>
      </c>
      <c r="B39" s="1297"/>
      <c r="C39" s="120">
        <v>368295</v>
      </c>
      <c r="D39" s="115">
        <v>484027</v>
      </c>
      <c r="E39" s="120">
        <f>C39+C39*'Løntabel gældende fra'!$D$7%</f>
        <v>393958.90048499999</v>
      </c>
      <c r="F39" s="111">
        <f>D39+D39*'Løntabel gældende fra'!$D$7%</f>
        <v>517755.45344100002</v>
      </c>
      <c r="G39" s="73"/>
    </row>
    <row r="40" spans="1:17" s="63" customFormat="1" ht="21" thickBot="1" x14ac:dyDescent="0.25">
      <c r="A40" s="1298" t="s">
        <v>131</v>
      </c>
      <c r="B40" s="1299"/>
      <c r="C40" s="120">
        <v>351257</v>
      </c>
      <c r="D40" s="115">
        <v>438154</v>
      </c>
      <c r="E40" s="120">
        <f>C40+C40*'Løntabel gældende fra'!$D$7%</f>
        <v>375733.64153099997</v>
      </c>
      <c r="F40" s="111">
        <f>D40+D40*'Løntabel gældende fra'!$D$7%</f>
        <v>468685.885182</v>
      </c>
      <c r="G40" s="73"/>
      <c r="H40" s="73"/>
      <c r="I40" s="73"/>
      <c r="J40" s="73"/>
      <c r="K40" s="73"/>
    </row>
    <row r="41" spans="1:17" s="63" customFormat="1" ht="32" customHeight="1" thickBot="1" x14ac:dyDescent="0.25">
      <c r="A41" s="1296" t="s">
        <v>356</v>
      </c>
      <c r="B41" s="1297"/>
      <c r="C41" s="121">
        <v>351257</v>
      </c>
      <c r="D41" s="122">
        <v>466988</v>
      </c>
      <c r="E41" s="121">
        <f>C41+C41*'Løntabel gældende fra'!$D$7%</f>
        <v>375733.64153099997</v>
      </c>
      <c r="F41" s="123">
        <f>D41+D41*'Løntabel gældende fra'!$D$7%</f>
        <v>499529.12480400002</v>
      </c>
      <c r="G41" s="73"/>
      <c r="H41" s="73"/>
      <c r="I41" s="73"/>
      <c r="J41" s="73"/>
      <c r="K41" s="73"/>
    </row>
    <row r="42" spans="1:17" s="63" customFormat="1" ht="23" customHeight="1" thickBot="1" x14ac:dyDescent="0.25">
      <c r="A42" s="1286"/>
      <c r="B42" s="1286"/>
      <c r="C42" s="1286"/>
      <c r="D42" s="1286"/>
      <c r="E42" s="1286"/>
      <c r="F42" s="138"/>
      <c r="G42" s="73"/>
      <c r="H42" s="73"/>
      <c r="I42" s="73"/>
      <c r="J42" s="73"/>
      <c r="K42" s="73"/>
    </row>
    <row r="43" spans="1:17" s="63" customFormat="1" ht="23" customHeight="1" x14ac:dyDescent="0.2">
      <c r="A43" s="1287" t="s">
        <v>350</v>
      </c>
      <c r="B43" s="1288"/>
      <c r="C43" s="1288"/>
      <c r="D43" s="1288"/>
      <c r="E43" s="1288"/>
      <c r="F43" s="1289"/>
      <c r="G43" s="73"/>
      <c r="H43" s="73"/>
      <c r="I43" s="73"/>
      <c r="J43" s="73"/>
      <c r="K43" s="73"/>
      <c r="L43" s="4"/>
      <c r="M43" s="4"/>
      <c r="N43" s="4"/>
      <c r="O43" s="4"/>
      <c r="P43" s="4"/>
      <c r="Q43" s="4"/>
    </row>
    <row r="44" spans="1:17" ht="14" customHeight="1" thickBot="1" x14ac:dyDescent="0.2">
      <c r="A44" s="1167" t="s">
        <v>345</v>
      </c>
      <c r="B44" s="1168"/>
      <c r="C44" s="1168"/>
      <c r="D44" s="1168"/>
      <c r="E44" s="1168"/>
      <c r="F44" s="1169"/>
      <c r="G44" s="89"/>
      <c r="N44" s="658"/>
      <c r="O44" s="658"/>
      <c r="P44" s="658"/>
    </row>
    <row r="45" spans="1:17" s="63" customFormat="1" ht="30" customHeight="1" x14ac:dyDescent="0.2">
      <c r="A45" s="1290" t="s">
        <v>323</v>
      </c>
      <c r="B45" s="1291"/>
      <c r="C45" s="1292"/>
      <c r="D45" s="797" t="s">
        <v>138</v>
      </c>
      <c r="E45" s="508" t="s">
        <v>103</v>
      </c>
      <c r="F45" s="846" t="s">
        <v>303</v>
      </c>
      <c r="G45" s="73"/>
      <c r="H45" s="73"/>
      <c r="I45" s="73"/>
      <c r="J45" s="73"/>
      <c r="K45" s="73"/>
      <c r="L45" s="4"/>
      <c r="M45" s="4"/>
      <c r="N45" s="4"/>
      <c r="O45" s="4"/>
      <c r="P45" s="4"/>
      <c r="Q45" s="4"/>
    </row>
    <row r="46" spans="1:17" s="63" customFormat="1" ht="15" customHeight="1" thickBot="1" x14ac:dyDescent="0.25">
      <c r="A46" s="1041"/>
      <c r="B46" s="1042"/>
      <c r="C46" s="1043"/>
      <c r="D46" s="509">
        <v>40999</v>
      </c>
      <c r="E46" s="509">
        <v>40999</v>
      </c>
      <c r="F46" s="392" t="str">
        <f>'Løntabel gældende fra'!$D$1</f>
        <v>01/04/2018</v>
      </c>
      <c r="G46" s="73"/>
      <c r="H46" s="73"/>
      <c r="I46" s="73"/>
      <c r="J46" s="73"/>
      <c r="K46" s="73"/>
      <c r="L46" s="4"/>
      <c r="M46" s="4"/>
      <c r="N46" s="4"/>
      <c r="O46" s="4"/>
      <c r="P46" s="4"/>
      <c r="Q46" s="4"/>
    </row>
    <row r="47" spans="1:17" s="63" customFormat="1" ht="18" customHeight="1" thickBot="1" x14ac:dyDescent="0.25">
      <c r="A47" s="1044"/>
      <c r="B47" s="1045"/>
      <c r="C47" s="1046"/>
      <c r="D47" s="238">
        <v>19300</v>
      </c>
      <c r="E47" s="238">
        <f>'Lærere og bh kl ledere'!G62/12</f>
        <v>1608.3333333333333</v>
      </c>
      <c r="F47" s="188">
        <f>E47+(E47*'Løntabel gældende fra'!$D$7%)</f>
        <v>1720.406825</v>
      </c>
      <c r="G47" s="73"/>
      <c r="H47" s="73"/>
      <c r="I47" s="73"/>
      <c r="J47" s="73"/>
      <c r="K47" s="73"/>
      <c r="L47" s="4"/>
      <c r="M47" s="4"/>
      <c r="N47" s="4"/>
      <c r="O47" s="4"/>
      <c r="P47" s="4"/>
      <c r="Q47" s="4"/>
    </row>
    <row r="48" spans="1:17" s="63" customFormat="1" ht="21" thickBot="1" x14ac:dyDescent="0.25">
      <c r="A48" s="850"/>
      <c r="B48" s="851"/>
      <c r="C48" s="850"/>
      <c r="D48" s="852"/>
      <c r="E48" s="852"/>
      <c r="F48" s="852"/>
      <c r="G48" s="73"/>
      <c r="H48" s="73"/>
      <c r="I48" s="73"/>
      <c r="J48" s="73"/>
      <c r="K48" s="73"/>
    </row>
    <row r="49" spans="1:11" s="63" customFormat="1" ht="54" customHeight="1" thickBot="1" x14ac:dyDescent="0.25">
      <c r="A49" s="1300" t="s">
        <v>334</v>
      </c>
      <c r="B49" s="1301"/>
      <c r="C49" s="1301"/>
      <c r="D49" s="1301"/>
      <c r="E49" s="1301"/>
      <c r="F49" s="1301"/>
      <c r="G49" s="1302"/>
      <c r="H49" s="73"/>
      <c r="I49" s="73"/>
      <c r="J49" s="73"/>
      <c r="K49" s="73"/>
    </row>
    <row r="50" spans="1:11" s="63" customFormat="1" ht="34" customHeight="1" thickBot="1" x14ac:dyDescent="0.25">
      <c r="A50" s="829" t="s">
        <v>335</v>
      </c>
      <c r="B50" s="1303" t="s">
        <v>336</v>
      </c>
      <c r="C50" s="1304"/>
      <c r="D50" s="1304"/>
      <c r="E50" s="1304"/>
      <c r="F50" s="1304"/>
      <c r="G50" s="1305"/>
      <c r="H50" s="73"/>
      <c r="I50" s="73"/>
      <c r="J50" s="73"/>
      <c r="K50" s="73"/>
    </row>
    <row r="51" spans="1:11" s="63" customFormat="1" ht="20" x14ac:dyDescent="0.2">
      <c r="A51" s="1306" t="s">
        <v>357</v>
      </c>
      <c r="B51" s="1310" t="s">
        <v>337</v>
      </c>
      <c r="C51" s="1311"/>
      <c r="D51" s="1312"/>
      <c r="E51" s="827" t="s">
        <v>138</v>
      </c>
      <c r="F51" s="828" t="s">
        <v>398</v>
      </c>
      <c r="G51" s="672"/>
      <c r="H51" s="73"/>
      <c r="I51" s="73"/>
      <c r="J51" s="73"/>
      <c r="K51" s="73"/>
    </row>
    <row r="52" spans="1:11" s="63" customFormat="1" ht="28" customHeight="1" thickBot="1" x14ac:dyDescent="0.25">
      <c r="A52" s="1307"/>
      <c r="B52" s="1313"/>
      <c r="C52" s="1314"/>
      <c r="D52" s="1315"/>
      <c r="E52" s="401">
        <v>40999</v>
      </c>
      <c r="F52" s="395" t="str">
        <f>'Løntabel gældende fra'!$D$1</f>
        <v>01/04/2018</v>
      </c>
      <c r="G52" s="673"/>
      <c r="H52" s="73"/>
      <c r="I52" s="73"/>
      <c r="J52" s="73"/>
      <c r="K52" s="73"/>
    </row>
    <row r="53" spans="1:11" s="63" customFormat="1" ht="20" x14ac:dyDescent="0.2">
      <c r="A53" s="1308"/>
      <c r="B53" s="849" t="s">
        <v>359</v>
      </c>
      <c r="C53" s="676"/>
      <c r="D53" s="680"/>
      <c r="E53" s="682">
        <v>98300</v>
      </c>
      <c r="F53" s="683">
        <f>E53+E53*'Løntabel gældende fra'!$D$7%</f>
        <v>105149.8389</v>
      </c>
      <c r="G53" s="674"/>
      <c r="H53" s="73"/>
      <c r="I53" s="73"/>
      <c r="J53" s="73"/>
      <c r="K53" s="73"/>
    </row>
    <row r="54" spans="1:11" s="63" customFormat="1" ht="21" thickBot="1" x14ac:dyDescent="0.25">
      <c r="A54" s="1309"/>
      <c r="B54" s="677" t="s">
        <v>358</v>
      </c>
      <c r="C54" s="678"/>
      <c r="D54" s="681"/>
      <c r="E54" s="679">
        <v>124500</v>
      </c>
      <c r="F54" s="684">
        <f>E54+E54*'Løntabel gældende fra'!$D$7%</f>
        <v>133175.53349999999</v>
      </c>
      <c r="G54" s="675"/>
      <c r="H54" s="73"/>
      <c r="I54" s="73"/>
      <c r="J54" s="73"/>
      <c r="K54" s="73"/>
    </row>
    <row r="55" spans="1:11" s="63" customFormat="1" ht="21" thickBot="1" x14ac:dyDescent="0.25">
      <c r="B55" s="82"/>
      <c r="D55" s="137"/>
      <c r="E55" s="137"/>
      <c r="F55" s="137"/>
      <c r="G55" s="73"/>
      <c r="H55" s="73"/>
      <c r="I55" s="73"/>
      <c r="J55" s="73"/>
      <c r="K55" s="73"/>
    </row>
    <row r="56" spans="1:11" ht="42" customHeight="1" x14ac:dyDescent="0.2">
      <c r="A56" s="1254" t="s">
        <v>141</v>
      </c>
      <c r="B56" s="1255"/>
      <c r="C56" s="1255"/>
      <c r="D56" s="1255"/>
      <c r="E56" s="1255"/>
      <c r="F56" s="1255"/>
      <c r="G56" s="1256"/>
      <c r="H56" s="86"/>
    </row>
    <row r="57" spans="1:11" ht="26" customHeight="1" thickBot="1" x14ac:dyDescent="0.25">
      <c r="A57" s="1317" t="str">
        <f>'Løntabel gældende fra'!$D$1</f>
        <v>01/04/2018</v>
      </c>
      <c r="B57" s="1318"/>
      <c r="C57" s="1318"/>
      <c r="D57" s="1318"/>
      <c r="E57" s="1318"/>
      <c r="F57" s="1318"/>
      <c r="G57" s="1319"/>
      <c r="H57" s="87"/>
    </row>
    <row r="58" spans="1:11" s="79" customFormat="1" ht="32" customHeight="1" x14ac:dyDescent="0.2">
      <c r="A58" s="1320" t="s">
        <v>132</v>
      </c>
      <c r="B58" s="1320"/>
      <c r="C58" s="1320"/>
      <c r="D58" s="1320"/>
      <c r="E58" s="1320"/>
      <c r="F58" s="1320"/>
      <c r="G58" s="1320"/>
      <c r="H58" s="87"/>
    </row>
    <row r="59" spans="1:11" s="79" customFormat="1" ht="12" customHeight="1" x14ac:dyDescent="0.2">
      <c r="A59" s="94"/>
      <c r="B59" s="94"/>
      <c r="C59" s="94"/>
      <c r="D59" s="94"/>
      <c r="E59" s="94"/>
      <c r="F59" s="94"/>
      <c r="G59" s="94"/>
      <c r="H59" s="87"/>
    </row>
    <row r="60" spans="1:11" s="79" customFormat="1" ht="14" customHeight="1" x14ac:dyDescent="0.2">
      <c r="A60" s="1321" t="s">
        <v>133</v>
      </c>
      <c r="B60" s="1295" t="s">
        <v>463</v>
      </c>
      <c r="C60" s="1295"/>
      <c r="D60" s="1295"/>
      <c r="E60" s="1295"/>
      <c r="F60" s="1295"/>
      <c r="G60" s="1295"/>
      <c r="H60" s="87"/>
    </row>
    <row r="61" spans="1:11" s="79" customFormat="1" ht="14" customHeight="1" x14ac:dyDescent="0.2">
      <c r="A61" s="1321"/>
      <c r="B61" s="90" t="s">
        <v>506</v>
      </c>
      <c r="C61" s="95"/>
      <c r="D61" s="95"/>
      <c r="E61" s="95"/>
      <c r="F61" s="95"/>
      <c r="G61" s="95"/>
      <c r="H61" s="87"/>
    </row>
    <row r="62" spans="1:11" s="79" customFormat="1" ht="14" customHeight="1" x14ac:dyDescent="0.2">
      <c r="A62" s="1321"/>
      <c r="B62" s="1295" t="s">
        <v>507</v>
      </c>
      <c r="C62" s="1295"/>
      <c r="D62" s="1295"/>
      <c r="E62" s="1295"/>
      <c r="F62" s="1295"/>
      <c r="G62" s="1295"/>
      <c r="H62" s="87"/>
    </row>
    <row r="63" spans="1:11" s="79" customFormat="1" ht="14" customHeight="1" x14ac:dyDescent="0.2">
      <c r="A63" s="96"/>
      <c r="B63" s="1295"/>
      <c r="C63" s="1295"/>
      <c r="D63" s="1295"/>
      <c r="E63" s="1295"/>
      <c r="F63" s="1295"/>
      <c r="G63" s="1295"/>
      <c r="H63" s="87"/>
    </row>
    <row r="64" spans="1:11" s="79" customFormat="1" ht="14" customHeight="1" x14ac:dyDescent="0.2">
      <c r="A64" s="647"/>
      <c r="B64" s="646"/>
      <c r="C64" s="646"/>
      <c r="D64" s="646"/>
      <c r="E64" s="646"/>
      <c r="F64" s="646"/>
      <c r="G64" s="646"/>
      <c r="H64" s="87"/>
    </row>
    <row r="65" spans="1:8" s="79" customFormat="1" ht="14" customHeight="1" x14ac:dyDescent="0.2">
      <c r="A65" s="1321" t="s">
        <v>134</v>
      </c>
      <c r="B65" s="1295" t="s">
        <v>508</v>
      </c>
      <c r="C65" s="1295"/>
      <c r="D65" s="1295"/>
      <c r="E65" s="1295"/>
      <c r="F65" s="1295"/>
      <c r="G65" s="1295"/>
      <c r="H65" s="87"/>
    </row>
    <row r="66" spans="1:8" s="79" customFormat="1" ht="14" customHeight="1" x14ac:dyDescent="0.2">
      <c r="A66" s="1321"/>
      <c r="B66" s="90" t="s">
        <v>514</v>
      </c>
      <c r="C66" s="95"/>
      <c r="D66" s="95"/>
      <c r="E66" s="95"/>
      <c r="F66" s="95"/>
      <c r="G66" s="95"/>
      <c r="H66" s="87"/>
    </row>
    <row r="67" spans="1:8" s="79" customFormat="1" ht="14" customHeight="1" x14ac:dyDescent="0.2">
      <c r="A67" s="1321"/>
      <c r="B67" s="1295" t="s">
        <v>509</v>
      </c>
      <c r="C67" s="1295"/>
      <c r="D67" s="1295"/>
      <c r="E67" s="1295"/>
      <c r="F67" s="1295"/>
      <c r="G67" s="1295"/>
      <c r="H67" s="87"/>
    </row>
    <row r="68" spans="1:8" s="79" customFormat="1" ht="14" customHeight="1" x14ac:dyDescent="0.2">
      <c r="A68" s="647"/>
      <c r="B68" s="1295"/>
      <c r="C68" s="1295"/>
      <c r="D68" s="1295"/>
      <c r="E68" s="1295"/>
      <c r="F68" s="1295"/>
      <c r="G68" s="1295"/>
      <c r="H68" s="87"/>
    </row>
    <row r="69" spans="1:8" s="79" customFormat="1" ht="12" customHeight="1" thickBot="1" x14ac:dyDescent="0.25">
      <c r="A69" s="73"/>
      <c r="B69" s="73"/>
      <c r="C69" s="73"/>
      <c r="D69" s="73"/>
      <c r="E69" s="73"/>
      <c r="F69" s="73"/>
      <c r="G69" s="73"/>
      <c r="H69" s="87"/>
    </row>
    <row r="70" spans="1:8" ht="18" customHeight="1" x14ac:dyDescent="0.15">
      <c r="A70" s="1083" t="s">
        <v>58</v>
      </c>
      <c r="B70" s="1054" t="s">
        <v>24</v>
      </c>
      <c r="C70" s="1116"/>
      <c r="D70" s="1054" t="s">
        <v>25</v>
      </c>
      <c r="E70" s="1116"/>
      <c r="F70" s="815" t="s">
        <v>402</v>
      </c>
      <c r="G70" s="1083" t="s">
        <v>97</v>
      </c>
    </row>
    <row r="71" spans="1:8" ht="18" customHeight="1" thickBot="1" x14ac:dyDescent="0.2">
      <c r="A71" s="1084"/>
      <c r="B71" s="818">
        <v>40999</v>
      </c>
      <c r="C71" s="819"/>
      <c r="D71" s="1069" t="str">
        <f>'Løntabel gældende fra'!$D$1</f>
        <v>01/04/2018</v>
      </c>
      <c r="E71" s="1322"/>
      <c r="F71" s="816" t="str">
        <f>'Løntabel gældende fra'!$D$1</f>
        <v>01/04/2018</v>
      </c>
      <c r="G71" s="1084"/>
    </row>
    <row r="72" spans="1:8" ht="19" customHeight="1" thickBot="1" x14ac:dyDescent="0.2">
      <c r="A72" s="1084"/>
      <c r="B72" s="820" t="s">
        <v>88</v>
      </c>
      <c r="C72" s="817" t="s">
        <v>174</v>
      </c>
      <c r="D72" s="391" t="s">
        <v>88</v>
      </c>
      <c r="E72" s="484" t="s">
        <v>174</v>
      </c>
      <c r="F72" s="484" t="s">
        <v>174</v>
      </c>
      <c r="G72" s="396">
        <v>0.15</v>
      </c>
    </row>
    <row r="73" spans="1:8" ht="14" customHeight="1" x14ac:dyDescent="0.15">
      <c r="A73" s="429">
        <v>31</v>
      </c>
      <c r="B73" s="499">
        <f>+'Statens skalatrin'!N96</f>
        <v>290512.64000000001</v>
      </c>
      <c r="C73" s="501">
        <f>B73/12</f>
        <v>24209.386666666669</v>
      </c>
      <c r="D73" s="500">
        <f>ROUND(B73*(1+'Løntabel gældende fra'!$D$7/100),0)</f>
        <v>310756</v>
      </c>
      <c r="E73" s="843">
        <f>D73/12</f>
        <v>25896.333333333332</v>
      </c>
      <c r="F73" s="499">
        <f>E73*15%</f>
        <v>3884.45</v>
      </c>
      <c r="G73" s="501">
        <f>F73*$G$72</f>
        <v>582.6674999999999</v>
      </c>
      <c r="H73" s="51"/>
    </row>
    <row r="74" spans="1:8" x14ac:dyDescent="0.15">
      <c r="A74" s="494">
        <v>32</v>
      </c>
      <c r="B74" s="211">
        <f>+'Statens skalatrin'!N99</f>
        <v>296125.21000000002</v>
      </c>
      <c r="C74" s="821">
        <f t="shared" ref="C74:C92" si="3">B74/12</f>
        <v>24677.100833333334</v>
      </c>
      <c r="D74" s="823">
        <f>ROUND(B74*(1+'Løntabel gældende fra'!$D$7/100),0)</f>
        <v>316760</v>
      </c>
      <c r="E74" s="844">
        <f t="shared" ref="E74:E92" si="4">D74/12</f>
        <v>26396.666666666668</v>
      </c>
      <c r="F74" s="825">
        <f t="shared" ref="F74:F92" si="5">E74*15%</f>
        <v>3959.5</v>
      </c>
      <c r="G74" s="210">
        <f t="shared" ref="G74:G92" si="6">F74*$G$72</f>
        <v>593.92499999999995</v>
      </c>
    </row>
    <row r="75" spans="1:8" x14ac:dyDescent="0.15">
      <c r="A75" s="494">
        <v>33</v>
      </c>
      <c r="B75" s="211">
        <f>+'Statens skalatrin'!N102</f>
        <v>301881.8</v>
      </c>
      <c r="C75" s="821">
        <f t="shared" si="3"/>
        <v>25156.816666666666</v>
      </c>
      <c r="D75" s="823">
        <f>ROUND(B75*(1+'Løntabel gældende fra'!$D$7/100),0)</f>
        <v>322918</v>
      </c>
      <c r="E75" s="844">
        <f t="shared" si="4"/>
        <v>26909.833333333332</v>
      </c>
      <c r="F75" s="825">
        <f t="shared" si="5"/>
        <v>4036.4749999999995</v>
      </c>
      <c r="G75" s="210">
        <f t="shared" si="6"/>
        <v>605.47124999999994</v>
      </c>
    </row>
    <row r="76" spans="1:8" x14ac:dyDescent="0.15">
      <c r="A76" s="494">
        <v>34</v>
      </c>
      <c r="B76" s="211">
        <f>+'Statens skalatrin'!N105</f>
        <v>307790.62</v>
      </c>
      <c r="C76" s="821">
        <f t="shared" si="3"/>
        <v>25649.218333333334</v>
      </c>
      <c r="D76" s="823">
        <f>ROUND(B76*(1+'Løntabel gældende fra'!$D$7/100),0)</f>
        <v>329238</v>
      </c>
      <c r="E76" s="844">
        <f t="shared" si="4"/>
        <v>27436.5</v>
      </c>
      <c r="F76" s="825">
        <f t="shared" si="5"/>
        <v>4115.4749999999995</v>
      </c>
      <c r="G76" s="210">
        <f t="shared" si="6"/>
        <v>617.32124999999985</v>
      </c>
    </row>
    <row r="77" spans="1:8" x14ac:dyDescent="0.15">
      <c r="A77" s="494">
        <v>35</v>
      </c>
      <c r="B77" s="211">
        <f>+'Statens skalatrin'!N108</f>
        <v>313854.56</v>
      </c>
      <c r="C77" s="821">
        <f t="shared" si="3"/>
        <v>26154.546666666665</v>
      </c>
      <c r="D77" s="823">
        <f>ROUND(B77*(1+'Løntabel gældende fra'!$D$7/100),0)</f>
        <v>335725</v>
      </c>
      <c r="E77" s="844">
        <f t="shared" si="4"/>
        <v>27977.083333333332</v>
      </c>
      <c r="F77" s="825">
        <f t="shared" si="5"/>
        <v>4196.5625</v>
      </c>
      <c r="G77" s="210">
        <f t="shared" si="6"/>
        <v>629.484375</v>
      </c>
    </row>
    <row r="78" spans="1:8" x14ac:dyDescent="0.15">
      <c r="A78" s="494">
        <v>36</v>
      </c>
      <c r="B78" s="211">
        <f>+'Statens skalatrin'!N111</f>
        <v>320074.68</v>
      </c>
      <c r="C78" s="821">
        <f t="shared" si="3"/>
        <v>26672.89</v>
      </c>
      <c r="D78" s="823">
        <f>ROUND(B78*(1+'Løntabel gældende fra'!$D$7/100),0)</f>
        <v>342378</v>
      </c>
      <c r="E78" s="844">
        <f t="shared" si="4"/>
        <v>28531.5</v>
      </c>
      <c r="F78" s="825">
        <f t="shared" si="5"/>
        <v>4279.7249999999995</v>
      </c>
      <c r="G78" s="210">
        <f t="shared" si="6"/>
        <v>641.9587499999999</v>
      </c>
    </row>
    <row r="79" spans="1:8" x14ac:dyDescent="0.15">
      <c r="A79" s="494">
        <v>37</v>
      </c>
      <c r="B79" s="211">
        <f>+'Statens skalatrin'!N114</f>
        <v>326457.34000000003</v>
      </c>
      <c r="C79" s="821">
        <f t="shared" si="3"/>
        <v>27204.778333333335</v>
      </c>
      <c r="D79" s="823">
        <f>ROUND(B79*(1+'Løntabel gældende fra'!$D$7/100),0)</f>
        <v>349206</v>
      </c>
      <c r="E79" s="844">
        <f t="shared" si="4"/>
        <v>29100.5</v>
      </c>
      <c r="F79" s="825">
        <f t="shared" si="5"/>
        <v>4365.0749999999998</v>
      </c>
      <c r="G79" s="210">
        <f t="shared" si="6"/>
        <v>654.7612499999999</v>
      </c>
    </row>
    <row r="80" spans="1:8" x14ac:dyDescent="0.15">
      <c r="A80" s="494">
        <v>38</v>
      </c>
      <c r="B80" s="211">
        <f>+'Statens skalatrin'!N117</f>
        <v>333128.88</v>
      </c>
      <c r="C80" s="821">
        <f t="shared" si="3"/>
        <v>27760.74</v>
      </c>
      <c r="D80" s="823">
        <f>ROUND(B80*(1+'Løntabel gældende fra'!$D$7/100),0)</f>
        <v>356342</v>
      </c>
      <c r="E80" s="844">
        <f t="shared" si="4"/>
        <v>29695.166666666668</v>
      </c>
      <c r="F80" s="825">
        <f t="shared" si="5"/>
        <v>4454.2749999999996</v>
      </c>
      <c r="G80" s="210">
        <f t="shared" si="6"/>
        <v>668.1412499999999</v>
      </c>
    </row>
    <row r="81" spans="1:7" x14ac:dyDescent="0.15">
      <c r="A81" s="494">
        <v>39</v>
      </c>
      <c r="B81" s="211">
        <f>+'Statens skalatrin'!N120</f>
        <v>339989.41</v>
      </c>
      <c r="C81" s="821">
        <f t="shared" si="3"/>
        <v>28332.450833333332</v>
      </c>
      <c r="D81" s="823">
        <f>ROUND(B81*(1+'Løntabel gældende fra'!$D$7/100),0)</f>
        <v>363681</v>
      </c>
      <c r="E81" s="844">
        <f t="shared" si="4"/>
        <v>30306.75</v>
      </c>
      <c r="F81" s="825">
        <f t="shared" si="5"/>
        <v>4546.0124999999998</v>
      </c>
      <c r="G81" s="210">
        <f t="shared" si="6"/>
        <v>681.9018749999999</v>
      </c>
    </row>
    <row r="82" spans="1:7" x14ac:dyDescent="0.15">
      <c r="A82" s="494">
        <v>40</v>
      </c>
      <c r="B82" s="211">
        <f>+'Statens skalatrin'!N123</f>
        <v>347027.46</v>
      </c>
      <c r="C82" s="821">
        <f t="shared" si="3"/>
        <v>28918.955000000002</v>
      </c>
      <c r="D82" s="823">
        <f>ROUND(B82*(1+'Løntabel gældende fra'!$D$7/100),0)</f>
        <v>371209</v>
      </c>
      <c r="E82" s="844">
        <f t="shared" si="4"/>
        <v>30934.083333333332</v>
      </c>
      <c r="F82" s="825">
        <f t="shared" si="5"/>
        <v>4640.1124999999993</v>
      </c>
      <c r="G82" s="210">
        <f t="shared" si="6"/>
        <v>696.01687499999991</v>
      </c>
    </row>
    <row r="83" spans="1:7" x14ac:dyDescent="0.15">
      <c r="A83" s="494">
        <v>41</v>
      </c>
      <c r="B83" s="211">
        <f>+'Statens skalatrin'!N126</f>
        <v>354249.23</v>
      </c>
      <c r="C83" s="821">
        <f t="shared" si="3"/>
        <v>29520.769166666665</v>
      </c>
      <c r="D83" s="823">
        <f>ROUND(B83*(1+'Løntabel gældende fra'!$D$7/100),0)</f>
        <v>378934</v>
      </c>
      <c r="E83" s="844">
        <f t="shared" si="4"/>
        <v>31577.833333333332</v>
      </c>
      <c r="F83" s="825">
        <f t="shared" si="5"/>
        <v>4736.6749999999993</v>
      </c>
      <c r="G83" s="210">
        <f t="shared" si="6"/>
        <v>710.50124999999991</v>
      </c>
    </row>
    <row r="84" spans="1:7" x14ac:dyDescent="0.15">
      <c r="A84" s="494">
        <v>42</v>
      </c>
      <c r="B84" s="211">
        <f>+'Statens skalatrin'!N129</f>
        <v>361659.2</v>
      </c>
      <c r="C84" s="821">
        <f t="shared" si="3"/>
        <v>30138.266666666666</v>
      </c>
      <c r="D84" s="823">
        <f>ROUND(B84*(1+'Løntabel gældende fra'!$D$7/100),0)</f>
        <v>386861</v>
      </c>
      <c r="E84" s="844">
        <f t="shared" si="4"/>
        <v>32238.416666666668</v>
      </c>
      <c r="F84" s="825">
        <f t="shared" si="5"/>
        <v>4835.7624999999998</v>
      </c>
      <c r="G84" s="210">
        <f t="shared" si="6"/>
        <v>725.364375</v>
      </c>
    </row>
    <row r="85" spans="1:7" x14ac:dyDescent="0.15">
      <c r="A85" s="494">
        <v>43</v>
      </c>
      <c r="B85" s="211">
        <f>+'Statens skalatrin'!N132</f>
        <v>369688.53</v>
      </c>
      <c r="C85" s="821">
        <f t="shared" si="3"/>
        <v>30807.377500000002</v>
      </c>
      <c r="D85" s="823">
        <f>ROUND(B85*(1+'Løntabel gældende fra'!$D$7/100),0)</f>
        <v>395450</v>
      </c>
      <c r="E85" s="844">
        <f t="shared" si="4"/>
        <v>32954.166666666664</v>
      </c>
      <c r="F85" s="825">
        <f t="shared" si="5"/>
        <v>4943.1249999999991</v>
      </c>
      <c r="G85" s="210">
        <f t="shared" si="6"/>
        <v>741.46874999999989</v>
      </c>
    </row>
    <row r="86" spans="1:7" x14ac:dyDescent="0.15">
      <c r="A86" s="494">
        <v>44</v>
      </c>
      <c r="B86" s="211">
        <f>+'Statens skalatrin'!N135</f>
        <v>377937.3</v>
      </c>
      <c r="C86" s="821">
        <f t="shared" si="3"/>
        <v>31494.774999999998</v>
      </c>
      <c r="D86" s="823">
        <f>ROUND(B86*(1+'Løntabel gældende fra'!$D$7/100),0)</f>
        <v>404273</v>
      </c>
      <c r="E86" s="844">
        <f t="shared" si="4"/>
        <v>33689.416666666664</v>
      </c>
      <c r="F86" s="825">
        <f t="shared" si="5"/>
        <v>5053.4124999999995</v>
      </c>
      <c r="G86" s="210">
        <f t="shared" si="6"/>
        <v>758.01187499999992</v>
      </c>
    </row>
    <row r="87" spans="1:7" x14ac:dyDescent="0.15">
      <c r="A87" s="494">
        <v>45</v>
      </c>
      <c r="B87" s="211">
        <f>+'Statens skalatrin'!N138</f>
        <v>386414.29</v>
      </c>
      <c r="C87" s="821">
        <f t="shared" si="3"/>
        <v>32201.19083333333</v>
      </c>
      <c r="D87" s="823">
        <f>ROUND(B87*(1+'Løntabel gældende fra'!$D$7/100),0)</f>
        <v>413341</v>
      </c>
      <c r="E87" s="844">
        <f t="shared" si="4"/>
        <v>34445.083333333336</v>
      </c>
      <c r="F87" s="825">
        <f t="shared" si="5"/>
        <v>5166.7624999999998</v>
      </c>
      <c r="G87" s="210">
        <f t="shared" si="6"/>
        <v>775.01437499999997</v>
      </c>
    </row>
    <row r="88" spans="1:7" s="79" customFormat="1" x14ac:dyDescent="0.15">
      <c r="A88" s="494">
        <v>46</v>
      </c>
      <c r="B88" s="211">
        <f>+'Statens skalatrin'!N141</f>
        <v>395124.74</v>
      </c>
      <c r="C88" s="821">
        <f t="shared" si="3"/>
        <v>32927.061666666668</v>
      </c>
      <c r="D88" s="823">
        <f>ROUND(B88*(1+'Løntabel gældende fra'!$D$7/100),0)</f>
        <v>422658</v>
      </c>
      <c r="E88" s="844">
        <f t="shared" si="4"/>
        <v>35221.5</v>
      </c>
      <c r="F88" s="825">
        <f t="shared" si="5"/>
        <v>5283.2249999999995</v>
      </c>
      <c r="G88" s="210">
        <f t="shared" si="6"/>
        <v>792.48374999999987</v>
      </c>
    </row>
    <row r="89" spans="1:7" s="79" customFormat="1" x14ac:dyDescent="0.15">
      <c r="A89" s="494">
        <v>47</v>
      </c>
      <c r="B89" s="211">
        <f>+'Statens skalatrin'!N144</f>
        <v>413268.87</v>
      </c>
      <c r="C89" s="821">
        <f t="shared" si="3"/>
        <v>34439.072500000002</v>
      </c>
      <c r="D89" s="823">
        <f>ROUND(B89*(1+'Løntabel gældende fra'!$D$7/100),0)</f>
        <v>442067</v>
      </c>
      <c r="E89" s="844">
        <f t="shared" si="4"/>
        <v>36838.916666666664</v>
      </c>
      <c r="F89" s="825">
        <f t="shared" si="5"/>
        <v>5525.8374999999996</v>
      </c>
      <c r="G89" s="210">
        <f t="shared" si="6"/>
        <v>828.8756249999999</v>
      </c>
    </row>
    <row r="90" spans="1:7" s="79" customFormat="1" x14ac:dyDescent="0.15">
      <c r="A90" s="494">
        <v>48</v>
      </c>
      <c r="B90" s="211">
        <f>+'Statens skalatrin'!N147</f>
        <v>441025.75</v>
      </c>
      <c r="C90" s="821">
        <f t="shared" si="3"/>
        <v>36752.145833333336</v>
      </c>
      <c r="D90" s="823">
        <f>ROUND(B90*(1+'Løntabel gældende fra'!$D$7/100),0)</f>
        <v>471758</v>
      </c>
      <c r="E90" s="844">
        <f t="shared" si="4"/>
        <v>39313.166666666664</v>
      </c>
      <c r="F90" s="825">
        <f t="shared" si="5"/>
        <v>5896.9749999999995</v>
      </c>
      <c r="G90" s="210">
        <f t="shared" si="6"/>
        <v>884.54624999999987</v>
      </c>
    </row>
    <row r="91" spans="1:7" s="27" customFormat="1" x14ac:dyDescent="0.15">
      <c r="A91" s="494">
        <v>49</v>
      </c>
      <c r="B91" s="211">
        <f>+'Statens skalatrin'!N150</f>
        <v>471780.9</v>
      </c>
      <c r="C91" s="821">
        <f t="shared" si="3"/>
        <v>39315.075000000004</v>
      </c>
      <c r="D91" s="823">
        <f>ROUND(B91*(1+'Løntabel gældende fra'!$D$7/100),0)</f>
        <v>504656</v>
      </c>
      <c r="E91" s="844">
        <f t="shared" si="4"/>
        <v>42054.666666666664</v>
      </c>
      <c r="F91" s="825">
        <f t="shared" si="5"/>
        <v>6308.2</v>
      </c>
      <c r="G91" s="210">
        <f t="shared" si="6"/>
        <v>946.2299999999999</v>
      </c>
    </row>
    <row r="92" spans="1:7" s="27" customFormat="1" ht="15" customHeight="1" thickBot="1" x14ac:dyDescent="0.2">
      <c r="A92" s="431">
        <v>50</v>
      </c>
      <c r="B92" s="190">
        <f>+'Statens skalatrin'!N153</f>
        <v>521094.47</v>
      </c>
      <c r="C92" s="822">
        <f t="shared" si="3"/>
        <v>43424.539166666662</v>
      </c>
      <c r="D92" s="824">
        <f>ROUND(B92*(1+'Løntabel gældende fra'!$D$7/100),0)</f>
        <v>557406</v>
      </c>
      <c r="E92" s="845">
        <f t="shared" si="4"/>
        <v>46450.5</v>
      </c>
      <c r="F92" s="826">
        <f t="shared" si="5"/>
        <v>6967.5749999999998</v>
      </c>
      <c r="G92" s="425">
        <f t="shared" si="6"/>
        <v>1045.13625</v>
      </c>
    </row>
    <row r="93" spans="1:7" ht="93" customHeight="1" x14ac:dyDescent="0.15">
      <c r="A93" s="1316" t="s">
        <v>265</v>
      </c>
      <c r="B93" s="1316"/>
      <c r="C93" s="1316"/>
      <c r="D93" s="1316"/>
      <c r="E93" s="1316"/>
      <c r="F93" s="1316"/>
      <c r="G93" s="1316"/>
    </row>
    <row r="94" spans="1:7" s="79" customFormat="1" x14ac:dyDescent="0.15">
      <c r="A94" s="78"/>
      <c r="B94" s="78"/>
      <c r="C94" s="78"/>
      <c r="D94" s="78"/>
      <c r="E94" s="78"/>
      <c r="F94" s="78"/>
      <c r="G94" s="78"/>
    </row>
    <row r="95" spans="1:7" s="79" customFormat="1" ht="15" customHeight="1" x14ac:dyDescent="0.15">
      <c r="A95" s="1251"/>
      <c r="B95" s="1251"/>
      <c r="C95" s="1251"/>
      <c r="D95" s="1251"/>
      <c r="E95" s="1251"/>
      <c r="F95" s="1251"/>
      <c r="G95" s="1251"/>
    </row>
    <row r="96" spans="1:7" x14ac:dyDescent="0.15">
      <c r="A96" s="7"/>
      <c r="B96" s="7"/>
      <c r="C96" s="7"/>
      <c r="D96" s="7"/>
      <c r="E96" s="7"/>
      <c r="F96" s="7"/>
      <c r="G96" s="7"/>
    </row>
    <row r="97" spans="1:7" x14ac:dyDescent="0.15">
      <c r="A97" s="7"/>
      <c r="B97" s="7"/>
      <c r="C97" s="7"/>
      <c r="D97" s="7"/>
      <c r="E97" s="7"/>
      <c r="F97" s="7"/>
      <c r="G97" s="7"/>
    </row>
    <row r="98" spans="1:7" x14ac:dyDescent="0.15">
      <c r="A98" s="7"/>
      <c r="B98" s="7"/>
      <c r="C98" s="7"/>
      <c r="D98" s="7"/>
      <c r="E98" s="7"/>
      <c r="F98" s="7"/>
      <c r="G98" s="7"/>
    </row>
    <row r="99" spans="1:7" x14ac:dyDescent="0.15">
      <c r="A99" s="7"/>
      <c r="B99" s="7"/>
      <c r="C99" s="7"/>
      <c r="D99" s="7"/>
      <c r="E99" s="7"/>
      <c r="F99" s="7"/>
      <c r="G99" s="7"/>
    </row>
    <row r="100" spans="1:7" x14ac:dyDescent="0.15">
      <c r="A100" s="7"/>
      <c r="B100" s="7"/>
      <c r="C100" s="7"/>
      <c r="D100" s="7"/>
      <c r="E100" s="7"/>
      <c r="F100" s="7"/>
      <c r="G100" s="7"/>
    </row>
    <row r="101" spans="1:7" x14ac:dyDescent="0.15">
      <c r="A101" s="7"/>
      <c r="B101" s="7"/>
      <c r="C101" s="7"/>
      <c r="D101" s="7"/>
      <c r="E101" s="7"/>
      <c r="F101" s="7"/>
      <c r="G101" s="7"/>
    </row>
    <row r="102" spans="1:7" x14ac:dyDescent="0.15">
      <c r="A102" s="7"/>
      <c r="B102" s="7"/>
      <c r="C102" s="7"/>
      <c r="D102" s="7"/>
      <c r="E102" s="7"/>
      <c r="F102" s="7"/>
      <c r="G102" s="7"/>
    </row>
    <row r="103" spans="1:7" x14ac:dyDescent="0.15">
      <c r="A103" s="7"/>
      <c r="B103" s="7"/>
      <c r="C103" s="7"/>
      <c r="D103" s="7"/>
      <c r="E103" s="7"/>
      <c r="F103" s="7"/>
      <c r="G103" s="7"/>
    </row>
    <row r="104" spans="1:7" x14ac:dyDescent="0.15">
      <c r="A104" s="7"/>
      <c r="B104" s="7"/>
      <c r="C104" s="7"/>
      <c r="D104" s="7"/>
      <c r="E104" s="7"/>
      <c r="F104" s="7"/>
      <c r="G104" s="7"/>
    </row>
    <row r="105" spans="1:7" x14ac:dyDescent="0.15">
      <c r="A105" s="7"/>
      <c r="B105" s="7"/>
      <c r="C105" s="7"/>
      <c r="D105" s="7"/>
      <c r="E105" s="7"/>
      <c r="F105" s="7"/>
      <c r="G105" s="7"/>
    </row>
    <row r="106" spans="1:7" x14ac:dyDescent="0.15">
      <c r="A106" s="7"/>
      <c r="B106" s="7"/>
      <c r="C106" s="7"/>
      <c r="D106" s="7"/>
      <c r="E106" s="7"/>
      <c r="F106" s="7"/>
      <c r="G106" s="7"/>
    </row>
    <row r="107" spans="1:7" x14ac:dyDescent="0.15">
      <c r="A107" s="7"/>
      <c r="B107" s="7"/>
      <c r="C107" s="7"/>
      <c r="D107" s="7"/>
      <c r="E107" s="7"/>
      <c r="F107" s="7"/>
      <c r="G107" s="7"/>
    </row>
    <row r="108" spans="1:7" x14ac:dyDescent="0.15">
      <c r="A108" s="7"/>
      <c r="B108" s="7"/>
      <c r="C108" s="7"/>
      <c r="D108" s="7"/>
      <c r="E108" s="7"/>
      <c r="F108" s="7"/>
      <c r="G108" s="7"/>
    </row>
    <row r="109" spans="1:7" x14ac:dyDescent="0.15">
      <c r="A109" s="7"/>
      <c r="B109" s="7"/>
      <c r="C109" s="7"/>
      <c r="D109" s="7"/>
      <c r="E109" s="7"/>
      <c r="F109" s="7"/>
      <c r="G109" s="7"/>
    </row>
    <row r="110" spans="1:7" x14ac:dyDescent="0.15">
      <c r="A110" s="7"/>
      <c r="B110" s="7"/>
      <c r="C110" s="7"/>
      <c r="D110" s="7"/>
      <c r="E110" s="7"/>
      <c r="F110" s="7"/>
      <c r="G110" s="7"/>
    </row>
    <row r="111" spans="1:7" x14ac:dyDescent="0.15">
      <c r="A111" s="7"/>
      <c r="B111" s="7"/>
      <c r="C111" s="7"/>
      <c r="D111" s="7"/>
      <c r="E111" s="7"/>
      <c r="F111" s="7"/>
      <c r="G111" s="7"/>
    </row>
    <row r="112" spans="1:7" x14ac:dyDescent="0.15">
      <c r="A112" s="7"/>
      <c r="B112" s="7"/>
      <c r="C112" s="7"/>
      <c r="D112" s="7"/>
      <c r="E112" s="7"/>
      <c r="F112" s="7"/>
      <c r="G112" s="7"/>
    </row>
    <row r="113" spans="1:7" x14ac:dyDescent="0.15">
      <c r="A113" s="7"/>
      <c r="B113" s="7"/>
      <c r="C113" s="7"/>
      <c r="D113" s="7"/>
      <c r="E113" s="7"/>
      <c r="F113" s="7"/>
      <c r="G113" s="7"/>
    </row>
    <row r="114" spans="1:7" x14ac:dyDescent="0.15">
      <c r="A114" s="7"/>
      <c r="B114" s="7"/>
      <c r="C114" s="7"/>
      <c r="D114" s="7"/>
      <c r="E114" s="7"/>
      <c r="F114" s="7"/>
      <c r="G114" s="7"/>
    </row>
    <row r="115" spans="1:7" x14ac:dyDescent="0.15">
      <c r="A115" s="7"/>
      <c r="B115" s="7"/>
      <c r="C115" s="7"/>
      <c r="D115" s="7"/>
      <c r="E115" s="7"/>
      <c r="F115" s="7"/>
      <c r="G115" s="7"/>
    </row>
    <row r="116" spans="1:7" x14ac:dyDescent="0.15">
      <c r="A116" s="7"/>
      <c r="B116" s="7"/>
      <c r="C116" s="7"/>
      <c r="D116" s="7"/>
      <c r="E116" s="7"/>
      <c r="F116" s="7"/>
      <c r="G116" s="7"/>
    </row>
    <row r="117" spans="1:7" x14ac:dyDescent="0.15">
      <c r="A117" s="7"/>
      <c r="B117" s="7"/>
      <c r="C117" s="7"/>
      <c r="D117" s="7"/>
      <c r="E117" s="7"/>
      <c r="F117" s="7"/>
      <c r="G117" s="7"/>
    </row>
    <row r="118" spans="1:7" x14ac:dyDescent="0.15">
      <c r="A118" s="7"/>
      <c r="B118" s="7"/>
      <c r="C118" s="7"/>
      <c r="D118" s="7"/>
      <c r="E118" s="7"/>
      <c r="F118" s="7"/>
      <c r="G118" s="7"/>
    </row>
    <row r="119" spans="1:7" x14ac:dyDescent="0.15">
      <c r="A119" s="7"/>
      <c r="B119" s="7"/>
      <c r="C119" s="7"/>
      <c r="D119" s="7"/>
      <c r="E119" s="7"/>
      <c r="F119" s="7"/>
      <c r="G119" s="7"/>
    </row>
    <row r="120" spans="1:7" x14ac:dyDescent="0.15">
      <c r="A120" s="7"/>
      <c r="B120" s="7"/>
      <c r="C120" s="7"/>
      <c r="D120" s="7"/>
      <c r="E120" s="7"/>
      <c r="F120" s="7"/>
      <c r="G120" s="7"/>
    </row>
    <row r="121" spans="1:7" x14ac:dyDescent="0.15">
      <c r="A121" s="7"/>
      <c r="B121" s="7"/>
      <c r="C121" s="7"/>
      <c r="D121" s="7"/>
      <c r="E121" s="7"/>
      <c r="F121" s="7"/>
      <c r="G121" s="7"/>
    </row>
    <row r="122" spans="1:7" x14ac:dyDescent="0.15">
      <c r="A122" s="1"/>
      <c r="B122" s="1"/>
      <c r="C122" s="1"/>
      <c r="D122" s="1"/>
      <c r="E122" s="1"/>
      <c r="F122" s="1"/>
      <c r="G122" s="1"/>
    </row>
    <row r="123" spans="1:7" x14ac:dyDescent="0.15">
      <c r="A123" s="1"/>
      <c r="B123" s="1"/>
      <c r="C123" s="1"/>
      <c r="D123" s="1"/>
      <c r="E123" s="1"/>
      <c r="F123" s="1"/>
      <c r="G123" s="1"/>
    </row>
    <row r="124" spans="1:7" x14ac:dyDescent="0.15">
      <c r="A124" s="1"/>
      <c r="B124" s="1"/>
      <c r="C124" s="1"/>
      <c r="D124" s="1"/>
      <c r="E124" s="1"/>
      <c r="F124" s="1"/>
      <c r="G124" s="1"/>
    </row>
    <row r="125" spans="1:7" x14ac:dyDescent="0.15">
      <c r="A125" s="1"/>
      <c r="B125" s="1"/>
      <c r="C125" s="1"/>
      <c r="D125" s="1"/>
      <c r="E125" s="1"/>
      <c r="F125" s="1"/>
      <c r="G125" s="1"/>
    </row>
  </sheetData>
  <sheetProtection sheet="1" objects="1" scenarios="1"/>
  <mergeCells count="67">
    <mergeCell ref="A93:G93"/>
    <mergeCell ref="A56:G56"/>
    <mergeCell ref="A57:G57"/>
    <mergeCell ref="A58:G58"/>
    <mergeCell ref="B60:G60"/>
    <mergeCell ref="A60:A62"/>
    <mergeCell ref="A65:A67"/>
    <mergeCell ref="B65:G65"/>
    <mergeCell ref="G70:G71"/>
    <mergeCell ref="A70:A72"/>
    <mergeCell ref="B70:C70"/>
    <mergeCell ref="D70:E70"/>
    <mergeCell ref="D71:E71"/>
    <mergeCell ref="B67:G68"/>
    <mergeCell ref="A42:E42"/>
    <mergeCell ref="A43:F43"/>
    <mergeCell ref="A45:C47"/>
    <mergeCell ref="C36:D36"/>
    <mergeCell ref="B62:G63"/>
    <mergeCell ref="A39:B39"/>
    <mergeCell ref="A40:B40"/>
    <mergeCell ref="A41:B41"/>
    <mergeCell ref="A44:F44"/>
    <mergeCell ref="A49:G49"/>
    <mergeCell ref="B50:G50"/>
    <mergeCell ref="A51:A54"/>
    <mergeCell ref="B51:D52"/>
    <mergeCell ref="A1:G1"/>
    <mergeCell ref="A2:G2"/>
    <mergeCell ref="A3:G3"/>
    <mergeCell ref="A13:B13"/>
    <mergeCell ref="A11:B11"/>
    <mergeCell ref="C8:D8"/>
    <mergeCell ref="E8:F8"/>
    <mergeCell ref="A10:B10"/>
    <mergeCell ref="C9:D9"/>
    <mergeCell ref="E9:F9"/>
    <mergeCell ref="A8:B9"/>
    <mergeCell ref="A7:F7"/>
    <mergeCell ref="A5:F6"/>
    <mergeCell ref="N4:P4"/>
    <mergeCell ref="N5:P5"/>
    <mergeCell ref="N6:P6"/>
    <mergeCell ref="A95:G95"/>
    <mergeCell ref="C34:D34"/>
    <mergeCell ref="E36:F36"/>
    <mergeCell ref="A37:A38"/>
    <mergeCell ref="A31:F32"/>
    <mergeCell ref="N31:P31"/>
    <mergeCell ref="N32:P32"/>
    <mergeCell ref="A15:F16"/>
    <mergeCell ref="C18:D18"/>
    <mergeCell ref="E20:F20"/>
    <mergeCell ref="A12:B12"/>
    <mergeCell ref="C10:D10"/>
    <mergeCell ref="E10:F10"/>
    <mergeCell ref="C35:D35"/>
    <mergeCell ref="E35:F35"/>
    <mergeCell ref="A34:B35"/>
    <mergeCell ref="A17:F17"/>
    <mergeCell ref="C20:D20"/>
    <mergeCell ref="E18:F18"/>
    <mergeCell ref="C19:D19"/>
    <mergeCell ref="E19:F19"/>
    <mergeCell ref="A18:B19"/>
    <mergeCell ref="A33:F33"/>
    <mergeCell ref="E34:F34"/>
  </mergeCells>
  <phoneticPr fontId="6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2" manualBreakCount="2">
    <brk id="48" max="6" man="1"/>
    <brk id="96" max="16383" man="1"/>
  </rowBreaks>
  <colBreaks count="1" manualBreakCount="1">
    <brk id="8" max="1048575" man="1"/>
  </colBreaks>
  <ignoredErrors>
    <ignoredError sqref="D73:D74 D75:D9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selection sqref="A1:G1"/>
    </sheetView>
  </sheetViews>
  <sheetFormatPr baseColWidth="10" defaultColWidth="8.83203125" defaultRowHeight="14" x14ac:dyDescent="0.15"/>
  <cols>
    <col min="1" max="1" width="10.5" style="2" customWidth="1"/>
    <col min="2" max="2" width="12.83203125" style="2" customWidth="1"/>
    <col min="3" max="3" width="12.6640625" style="2" customWidth="1"/>
    <col min="4" max="4" width="13.1640625" style="2" customWidth="1"/>
    <col min="5" max="5" width="13.33203125" style="2" customWidth="1"/>
    <col min="6" max="6" width="11.5" style="2" customWidth="1"/>
    <col min="7" max="7" width="13.5" style="2" customWidth="1"/>
    <col min="8" max="16384" width="8.83203125" style="2"/>
  </cols>
  <sheetData>
    <row r="1" spans="1:9" ht="49.5" customHeight="1" thickBot="1" x14ac:dyDescent="0.2">
      <c r="A1" s="1363" t="s">
        <v>451</v>
      </c>
      <c r="B1" s="1364"/>
      <c r="C1" s="1364"/>
      <c r="D1" s="1364"/>
      <c r="E1" s="1364"/>
      <c r="F1" s="1364"/>
      <c r="G1" s="1365"/>
      <c r="H1" s="901"/>
      <c r="I1" s="901"/>
    </row>
    <row r="2" spans="1:9" ht="8.25" customHeight="1" x14ac:dyDescent="0.15">
      <c r="A2" s="945"/>
      <c r="B2" s="945"/>
      <c r="C2" s="945"/>
      <c r="D2" s="945"/>
      <c r="E2" s="945"/>
      <c r="F2" s="945"/>
      <c r="G2" s="945"/>
      <c r="H2" s="901"/>
      <c r="I2" s="901"/>
    </row>
    <row r="3" spans="1:9" s="27" customFormat="1" ht="11.25" customHeight="1" thickBot="1" x14ac:dyDescent="0.2">
      <c r="A3" s="869"/>
      <c r="B3" s="869"/>
      <c r="C3" s="869"/>
      <c r="D3" s="869"/>
    </row>
    <row r="4" spans="1:9" s="870" customFormat="1" ht="21.75" customHeight="1" thickBot="1" x14ac:dyDescent="0.2">
      <c r="A4" s="1494" t="s">
        <v>450</v>
      </c>
      <c r="B4" s="1495"/>
      <c r="C4" s="1495"/>
      <c r="D4" s="1495"/>
      <c r="E4" s="1495"/>
      <c r="F4" s="1495"/>
      <c r="G4" s="1496"/>
      <c r="H4" s="850"/>
    </row>
    <row r="5" spans="1:9" ht="8.25" customHeight="1" thickBot="1" x14ac:dyDescent="0.2">
      <c r="A5" s="1497"/>
      <c r="B5" s="1497"/>
      <c r="C5" s="1497"/>
      <c r="D5" s="1497"/>
      <c r="E5" s="1497"/>
      <c r="F5" s="1497"/>
      <c r="G5" s="1497"/>
      <c r="H5" s="79"/>
    </row>
    <row r="6" spans="1:9" ht="16.5" customHeight="1" x14ac:dyDescent="0.15">
      <c r="A6" s="1366" t="s">
        <v>283</v>
      </c>
      <c r="B6" s="1367"/>
      <c r="C6" s="1367"/>
      <c r="D6" s="1367"/>
      <c r="E6" s="1367"/>
      <c r="F6" s="1367"/>
      <c r="G6" s="1368"/>
      <c r="H6" s="237"/>
    </row>
    <row r="7" spans="1:9" ht="18.75" customHeight="1" thickBot="1" x14ac:dyDescent="0.2">
      <c r="A7" s="1369" t="s">
        <v>452</v>
      </c>
      <c r="B7" s="1370"/>
      <c r="C7" s="1370"/>
      <c r="D7" s="1370"/>
      <c r="E7" s="1370"/>
      <c r="F7" s="1370"/>
      <c r="G7" s="1371"/>
      <c r="H7" s="902"/>
    </row>
    <row r="8" spans="1:9" ht="15" customHeight="1" x14ac:dyDescent="0.15">
      <c r="A8" s="1395" t="s">
        <v>449</v>
      </c>
      <c r="B8" s="1339"/>
      <c r="C8" s="1361" t="s">
        <v>138</v>
      </c>
      <c r="D8" s="1338" t="s">
        <v>398</v>
      </c>
      <c r="E8" s="1338" t="s">
        <v>303</v>
      </c>
      <c r="F8" s="1329" t="s">
        <v>416</v>
      </c>
      <c r="G8" s="1330"/>
      <c r="H8" s="79"/>
    </row>
    <row r="9" spans="1:9" ht="28" customHeight="1" x14ac:dyDescent="0.15">
      <c r="A9" s="1396"/>
      <c r="B9" s="1341"/>
      <c r="C9" s="1362"/>
      <c r="D9" s="1340"/>
      <c r="E9" s="1340"/>
      <c r="F9" s="1331"/>
      <c r="G9" s="1332"/>
    </row>
    <row r="10" spans="1:9" ht="15" thickBot="1" x14ac:dyDescent="0.2">
      <c r="A10" s="1397"/>
      <c r="B10" s="1337"/>
      <c r="C10" s="942">
        <v>40999</v>
      </c>
      <c r="D10" s="904" t="str">
        <f>'Løntabel gældende fra'!$D$1</f>
        <v>01/04/2018</v>
      </c>
      <c r="E10" s="904" t="str">
        <f>'Løntabel gældende fra'!$D$1</f>
        <v>01/04/2018</v>
      </c>
      <c r="F10" s="1335" t="s">
        <v>415</v>
      </c>
      <c r="G10" s="1328"/>
    </row>
    <row r="11" spans="1:9" x14ac:dyDescent="0.15">
      <c r="A11" s="1270">
        <v>1</v>
      </c>
      <c r="B11" s="1503"/>
      <c r="C11" s="905">
        <v>285240</v>
      </c>
      <c r="D11" s="903">
        <f>C11*(1+'Løntabel gældende fra'!$D$7/100)</f>
        <v>305116.37891999999</v>
      </c>
      <c r="E11" s="903">
        <f>D11/12</f>
        <v>25426.36491</v>
      </c>
      <c r="F11" s="1353">
        <f>E11*0.168</f>
        <v>4271.6293048800007</v>
      </c>
      <c r="G11" s="1207"/>
    </row>
    <row r="12" spans="1:9" x14ac:dyDescent="0.15">
      <c r="A12" s="1430">
        <v>2</v>
      </c>
      <c r="B12" s="1431"/>
      <c r="C12" s="861">
        <v>285240</v>
      </c>
      <c r="D12" s="835">
        <f>C12*(1+'Løntabel gældende fra'!$D$7/100)</f>
        <v>305116.37891999999</v>
      </c>
      <c r="E12" s="835">
        <f>D12/12</f>
        <v>25426.36491</v>
      </c>
      <c r="F12" s="1354">
        <f>E12*0.168</f>
        <v>4271.6293048800007</v>
      </c>
      <c r="G12" s="1061"/>
    </row>
    <row r="13" spans="1:9" x14ac:dyDescent="0.15">
      <c r="A13" s="1430">
        <v>3</v>
      </c>
      <c r="B13" s="1431"/>
      <c r="C13" s="861">
        <v>307417</v>
      </c>
      <c r="D13" s="835">
        <f>C13*(1+'Løntabel gældende fra'!$D$7/100)</f>
        <v>328838.73881099996</v>
      </c>
      <c r="E13" s="835">
        <f>D13/12</f>
        <v>27403.228234249997</v>
      </c>
      <c r="F13" s="1354">
        <f>E13*0.168</f>
        <v>4603.7423433539998</v>
      </c>
      <c r="G13" s="1061"/>
    </row>
    <row r="14" spans="1:9" x14ac:dyDescent="0.15">
      <c r="A14" s="1430">
        <v>4</v>
      </c>
      <c r="B14" s="1431"/>
      <c r="C14" s="861">
        <v>327643</v>
      </c>
      <c r="D14" s="835">
        <f>C14*(1+'Løntabel gældende fra'!$D$7/100)</f>
        <v>350474.147169</v>
      </c>
      <c r="E14" s="835">
        <f>D14/12</f>
        <v>29206.17893075</v>
      </c>
      <c r="F14" s="1354">
        <f>E14*0.168</f>
        <v>4906.638060366</v>
      </c>
      <c r="G14" s="1061"/>
    </row>
    <row r="15" spans="1:9" ht="15" thickBot="1" x14ac:dyDescent="0.2">
      <c r="A15" s="1268">
        <v>5</v>
      </c>
      <c r="B15" s="1504"/>
      <c r="C15" s="863">
        <v>347571</v>
      </c>
      <c r="D15" s="836">
        <f>C15*(1+'Løntabel gældende fra'!$D$7/100)</f>
        <v>371790.78999299998</v>
      </c>
      <c r="E15" s="836">
        <f>D15/12</f>
        <v>30982.565832749999</v>
      </c>
      <c r="F15" s="1355">
        <f>E15*0.168</f>
        <v>5205.0710599020003</v>
      </c>
      <c r="G15" s="1185"/>
    </row>
    <row r="16" spans="1:9" x14ac:dyDescent="0.15">
      <c r="A16" s="1505" t="s">
        <v>484</v>
      </c>
      <c r="B16" s="1505"/>
      <c r="C16" s="1505"/>
      <c r="D16" s="1505"/>
      <c r="E16" s="1505"/>
      <c r="F16" s="1505"/>
      <c r="G16" s="1505"/>
      <c r="H16" s="1505"/>
    </row>
    <row r="17" spans="1:9" ht="15" thickBot="1" x14ac:dyDescent="0.2">
      <c r="I17" s="868"/>
    </row>
    <row r="18" spans="1:9" ht="15" thickBot="1" x14ac:dyDescent="0.2">
      <c r="A18" s="1507" t="s">
        <v>500</v>
      </c>
      <c r="B18" s="1508"/>
      <c r="C18" s="1509"/>
      <c r="D18" s="1507" t="s">
        <v>474</v>
      </c>
      <c r="E18" s="1508"/>
      <c r="F18" s="1509"/>
      <c r="G18" s="866"/>
    </row>
    <row r="19" spans="1:9" ht="15" thickBot="1" x14ac:dyDescent="0.2">
      <c r="A19" s="946" t="s">
        <v>475</v>
      </c>
      <c r="B19" s="1500" t="s">
        <v>98</v>
      </c>
      <c r="C19" s="1501"/>
      <c r="D19" s="946" t="s">
        <v>475</v>
      </c>
      <c r="E19" s="1500" t="s">
        <v>98</v>
      </c>
      <c r="F19" s="1502"/>
      <c r="G19" s="866"/>
    </row>
    <row r="20" spans="1:9" ht="15.75" customHeight="1" x14ac:dyDescent="0.15">
      <c r="A20" s="947">
        <v>2</v>
      </c>
      <c r="B20" s="1498" t="s">
        <v>476</v>
      </c>
      <c r="C20" s="1506"/>
      <c r="D20" s="947">
        <v>1</v>
      </c>
      <c r="E20" s="1498" t="s">
        <v>479</v>
      </c>
      <c r="F20" s="1499"/>
      <c r="G20" s="866"/>
    </row>
    <row r="21" spans="1:9" x14ac:dyDescent="0.15">
      <c r="A21" s="948">
        <v>4</v>
      </c>
      <c r="B21" s="1402" t="s">
        <v>477</v>
      </c>
      <c r="C21" s="1403"/>
      <c r="D21" s="948">
        <v>3</v>
      </c>
      <c r="E21" s="1402" t="s">
        <v>480</v>
      </c>
      <c r="F21" s="1468"/>
      <c r="G21" s="866"/>
    </row>
    <row r="22" spans="1:9" ht="15" thickBot="1" x14ac:dyDescent="0.2">
      <c r="A22" s="949">
        <v>5</v>
      </c>
      <c r="B22" s="1427" t="s">
        <v>478</v>
      </c>
      <c r="C22" s="1469"/>
      <c r="D22" s="949">
        <v>5</v>
      </c>
      <c r="E22" s="1427" t="s">
        <v>481</v>
      </c>
      <c r="F22" s="1428"/>
      <c r="G22" s="866"/>
    </row>
    <row r="23" spans="1:9" ht="14" customHeight="1" thickBot="1" x14ac:dyDescent="0.2">
      <c r="A23" s="865"/>
      <c r="B23" s="865"/>
      <c r="C23" s="866"/>
      <c r="D23" s="866"/>
      <c r="E23" s="867"/>
      <c r="F23" s="832"/>
      <c r="G23" s="832"/>
    </row>
    <row r="24" spans="1:9" ht="22.5" customHeight="1" x14ac:dyDescent="0.15">
      <c r="A24" s="1366" t="s">
        <v>448</v>
      </c>
      <c r="B24" s="1367"/>
      <c r="C24" s="1367"/>
      <c r="D24" s="1367"/>
      <c r="E24" s="1367"/>
      <c r="F24" s="1367"/>
      <c r="G24" s="1368"/>
    </row>
    <row r="25" spans="1:9" ht="20.25" customHeight="1" thickBot="1" x14ac:dyDescent="0.2">
      <c r="A25" s="1369" t="s">
        <v>452</v>
      </c>
      <c r="B25" s="1370"/>
      <c r="C25" s="1370"/>
      <c r="D25" s="1370"/>
      <c r="E25" s="1370"/>
      <c r="F25" s="1370"/>
      <c r="G25" s="1371"/>
    </row>
    <row r="26" spans="1:9" ht="15.75" customHeight="1" x14ac:dyDescent="0.15">
      <c r="A26" s="1395" t="s">
        <v>96</v>
      </c>
      <c r="B26" s="1339"/>
      <c r="C26" s="1361" t="s">
        <v>138</v>
      </c>
      <c r="D26" s="1338" t="s">
        <v>398</v>
      </c>
      <c r="E26" s="1338" t="s">
        <v>303</v>
      </c>
      <c r="F26" s="1329" t="s">
        <v>416</v>
      </c>
      <c r="G26" s="1330"/>
    </row>
    <row r="27" spans="1:9" ht="15" customHeight="1" x14ac:dyDescent="0.15">
      <c r="A27" s="1396"/>
      <c r="B27" s="1341"/>
      <c r="C27" s="1362"/>
      <c r="D27" s="1340"/>
      <c r="E27" s="1340"/>
      <c r="F27" s="1331"/>
      <c r="G27" s="1332"/>
    </row>
    <row r="28" spans="1:9" ht="15" thickBot="1" x14ac:dyDescent="0.2">
      <c r="A28" s="1327"/>
      <c r="B28" s="1328"/>
      <c r="C28" s="942">
        <v>40999</v>
      </c>
      <c r="D28" s="904" t="str">
        <f>'Løntabel gældende fra'!$D$1</f>
        <v>01/04/2018</v>
      </c>
      <c r="E28" s="904" t="str">
        <f>'Løntabel gældende fra'!$D$1</f>
        <v>01/04/2018</v>
      </c>
      <c r="F28" s="1333">
        <v>0.16800000000000001</v>
      </c>
      <c r="G28" s="1334"/>
    </row>
    <row r="29" spans="1:9" x14ac:dyDescent="0.15">
      <c r="A29" s="1432" t="s">
        <v>447</v>
      </c>
      <c r="B29" s="1433"/>
      <c r="C29" s="911">
        <v>38000</v>
      </c>
      <c r="D29" s="907">
        <f>C29*(1+'Løntabel gældende fra'!$D$7/100)</f>
        <v>40647.953999999998</v>
      </c>
      <c r="E29" s="907">
        <f t="shared" ref="E29:E35" si="0">D29/12</f>
        <v>3387.3294999999998</v>
      </c>
      <c r="F29" s="1382">
        <f t="shared" ref="F29:F35" si="1">E29*0.168</f>
        <v>569.07135600000004</v>
      </c>
      <c r="G29" s="1383"/>
    </row>
    <row r="30" spans="1:9" ht="14.25" customHeight="1" x14ac:dyDescent="0.15">
      <c r="A30" s="1430" t="s">
        <v>446</v>
      </c>
      <c r="B30" s="1431"/>
      <c r="C30" s="906">
        <v>38000</v>
      </c>
      <c r="D30" s="838">
        <f>C30*(1+'Løntabel gældende fra'!$D$7/100)</f>
        <v>40647.953999999998</v>
      </c>
      <c r="E30" s="838">
        <f t="shared" si="0"/>
        <v>3387.3294999999998</v>
      </c>
      <c r="F30" s="1384">
        <f t="shared" si="1"/>
        <v>569.07135600000004</v>
      </c>
      <c r="G30" s="1385"/>
    </row>
    <row r="31" spans="1:9" x14ac:dyDescent="0.15">
      <c r="A31" s="1430" t="s">
        <v>445</v>
      </c>
      <c r="B31" s="1431"/>
      <c r="C31" s="906">
        <v>50000</v>
      </c>
      <c r="D31" s="838">
        <f>C31*(1+'Løntabel gældende fra'!$D$7/100)</f>
        <v>53484.149999999994</v>
      </c>
      <c r="E31" s="838">
        <f t="shared" si="0"/>
        <v>4457.0124999999998</v>
      </c>
      <c r="F31" s="1384">
        <f t="shared" si="1"/>
        <v>748.77809999999999</v>
      </c>
      <c r="G31" s="1385"/>
    </row>
    <row r="32" spans="1:9" x14ac:dyDescent="0.15">
      <c r="A32" s="1430" t="s">
        <v>444</v>
      </c>
      <c r="B32" s="1431"/>
      <c r="C32" s="906">
        <v>50000</v>
      </c>
      <c r="D32" s="838">
        <f>C32*(1+'Løntabel gældende fra'!$D$7/100)</f>
        <v>53484.149999999994</v>
      </c>
      <c r="E32" s="838">
        <f t="shared" si="0"/>
        <v>4457.0124999999998</v>
      </c>
      <c r="F32" s="1384">
        <f t="shared" si="1"/>
        <v>748.77809999999999</v>
      </c>
      <c r="G32" s="1385"/>
    </row>
    <row r="33" spans="1:7" ht="15" customHeight="1" x14ac:dyDescent="0.15">
      <c r="A33" s="1263" t="s">
        <v>443</v>
      </c>
      <c r="B33" s="1429"/>
      <c r="C33" s="906">
        <v>50000</v>
      </c>
      <c r="D33" s="838">
        <f>C33*(1+'Løntabel gældende fra'!$D$7/100)</f>
        <v>53484.149999999994</v>
      </c>
      <c r="E33" s="838">
        <f t="shared" si="0"/>
        <v>4457.0124999999998</v>
      </c>
      <c r="F33" s="1384">
        <f t="shared" si="1"/>
        <v>748.77809999999999</v>
      </c>
      <c r="G33" s="1385"/>
    </row>
    <row r="34" spans="1:7" ht="15.75" customHeight="1" x14ac:dyDescent="0.15">
      <c r="A34" s="1430" t="s">
        <v>473</v>
      </c>
      <c r="B34" s="1431"/>
      <c r="C34" s="906">
        <v>50000</v>
      </c>
      <c r="D34" s="838">
        <f>C34*(1+'Løntabel gældende fra'!$D$7/100)</f>
        <v>53484.149999999994</v>
      </c>
      <c r="E34" s="838">
        <f t="shared" si="0"/>
        <v>4457.0124999999998</v>
      </c>
      <c r="F34" s="1384">
        <f t="shared" si="1"/>
        <v>748.77809999999999</v>
      </c>
      <c r="G34" s="1385"/>
    </row>
    <row r="35" spans="1:7" ht="15.75" customHeight="1" thickBot="1" x14ac:dyDescent="0.2">
      <c r="A35" s="1397" t="s">
        <v>442</v>
      </c>
      <c r="B35" s="1337"/>
      <c r="C35" s="862">
        <v>72500</v>
      </c>
      <c r="D35" s="839">
        <f>C35*(1+'Løntabel gældende fra'!$D$7/100)</f>
        <v>77552.017500000002</v>
      </c>
      <c r="E35" s="839">
        <f t="shared" si="0"/>
        <v>6462.6681250000001</v>
      </c>
      <c r="F35" s="1386">
        <f t="shared" si="1"/>
        <v>1085.728245</v>
      </c>
      <c r="G35" s="1387"/>
    </row>
    <row r="36" spans="1:7" ht="15.75" customHeight="1" thickBot="1" x14ac:dyDescent="0.2">
      <c r="A36" s="864"/>
      <c r="B36" s="864"/>
      <c r="C36" s="864"/>
      <c r="D36" s="864"/>
      <c r="E36" s="864"/>
      <c r="F36" s="864"/>
      <c r="G36" s="864"/>
    </row>
    <row r="37" spans="1:7" ht="19.5" customHeight="1" x14ac:dyDescent="0.15">
      <c r="A37" s="1056" t="s">
        <v>454</v>
      </c>
      <c r="B37" s="1146"/>
      <c r="C37" s="1146"/>
      <c r="D37" s="1146"/>
      <c r="E37" s="1146"/>
      <c r="F37" s="1146"/>
      <c r="G37" s="1147"/>
    </row>
    <row r="38" spans="1:7" ht="14" customHeight="1" x14ac:dyDescent="0.15">
      <c r="A38" s="1376" t="s">
        <v>453</v>
      </c>
      <c r="B38" s="1377"/>
      <c r="C38" s="1377"/>
      <c r="D38" s="1377"/>
      <c r="E38" s="1377"/>
      <c r="F38" s="1377"/>
      <c r="G38" s="1378"/>
    </row>
    <row r="39" spans="1:7" ht="18" customHeight="1" thickBot="1" x14ac:dyDescent="0.2">
      <c r="A39" s="1379"/>
      <c r="B39" s="1380"/>
      <c r="C39" s="1380"/>
      <c r="D39" s="1380"/>
      <c r="E39" s="1380"/>
      <c r="F39" s="1380"/>
      <c r="G39" s="1381"/>
    </row>
    <row r="40" spans="1:7" ht="19.5" customHeight="1" thickBot="1" x14ac:dyDescent="0.2">
      <c r="A40" s="1373" t="s">
        <v>441</v>
      </c>
      <c r="B40" s="1374"/>
      <c r="C40" s="1374"/>
      <c r="D40" s="1374"/>
      <c r="E40" s="1374"/>
      <c r="F40" s="1374"/>
      <c r="G40" s="1375"/>
    </row>
    <row r="41" spans="1:7" x14ac:dyDescent="0.15">
      <c r="A41" s="1416" t="s">
        <v>439</v>
      </c>
      <c r="B41" s="1417"/>
      <c r="C41" s="1417"/>
      <c r="D41" s="1330"/>
      <c r="E41" s="1361" t="s">
        <v>138</v>
      </c>
      <c r="F41" s="1338" t="s">
        <v>398</v>
      </c>
      <c r="G41" s="1339" t="s">
        <v>303</v>
      </c>
    </row>
    <row r="42" spans="1:7" x14ac:dyDescent="0.15">
      <c r="A42" s="1418"/>
      <c r="B42" s="1419"/>
      <c r="C42" s="1419"/>
      <c r="D42" s="1420"/>
      <c r="E42" s="1362"/>
      <c r="F42" s="1340"/>
      <c r="G42" s="1341"/>
    </row>
    <row r="43" spans="1:7" ht="15" thickBot="1" x14ac:dyDescent="0.2">
      <c r="A43" s="1421"/>
      <c r="B43" s="1422"/>
      <c r="C43" s="1422"/>
      <c r="D43" s="1423"/>
      <c r="E43" s="942">
        <v>40999</v>
      </c>
      <c r="F43" s="909" t="str">
        <f>'Løntabel gældende fra'!$D$1</f>
        <v>01/04/2018</v>
      </c>
      <c r="G43" s="916">
        <v>43070</v>
      </c>
    </row>
    <row r="44" spans="1:7" x14ac:dyDescent="0.15">
      <c r="A44" s="1424">
        <v>-200</v>
      </c>
      <c r="B44" s="1425"/>
      <c r="C44" s="1425"/>
      <c r="D44" s="1426"/>
      <c r="E44" s="905">
        <v>18200</v>
      </c>
      <c r="F44" s="903">
        <f>E44*(1+'Løntabel gældende fra'!$D$7/100)</f>
        <v>19468.230599999999</v>
      </c>
      <c r="G44" s="454">
        <f>F44/12</f>
        <v>1622.3525499999998</v>
      </c>
    </row>
    <row r="45" spans="1:7" x14ac:dyDescent="0.15">
      <c r="A45" s="1410" t="s">
        <v>438</v>
      </c>
      <c r="B45" s="1411"/>
      <c r="C45" s="1411"/>
      <c r="D45" s="1412"/>
      <c r="E45" s="861">
        <v>33300</v>
      </c>
      <c r="F45" s="835">
        <f>E45*(1+'Løntabel gældende fra'!$D$7/100)</f>
        <v>35620.443899999998</v>
      </c>
      <c r="G45" s="452">
        <f>F45/12</f>
        <v>2968.3703249999999</v>
      </c>
    </row>
    <row r="46" spans="1:7" x14ac:dyDescent="0.15">
      <c r="A46" s="1410" t="s">
        <v>437</v>
      </c>
      <c r="B46" s="1411"/>
      <c r="C46" s="1411"/>
      <c r="D46" s="1412"/>
      <c r="E46" s="861">
        <v>44000</v>
      </c>
      <c r="F46" s="835">
        <f>E46*(1+'Løntabel gældende fra'!$D$7/100)</f>
        <v>47066.051999999996</v>
      </c>
      <c r="G46" s="452">
        <f>F46/12</f>
        <v>3922.1709999999998</v>
      </c>
    </row>
    <row r="47" spans="1:7" ht="14" customHeight="1" x14ac:dyDescent="0.15">
      <c r="A47" s="1410" t="s">
        <v>436</v>
      </c>
      <c r="B47" s="1411"/>
      <c r="C47" s="1411"/>
      <c r="D47" s="1412"/>
      <c r="E47" s="861">
        <v>54700</v>
      </c>
      <c r="F47" s="835">
        <f>E47*(1+'Løntabel gældende fra'!$D$7/100)</f>
        <v>58511.660099999994</v>
      </c>
      <c r="G47" s="452">
        <f>F47/12</f>
        <v>4875.9716749999998</v>
      </c>
    </row>
    <row r="48" spans="1:7" ht="15" thickBot="1" x14ac:dyDescent="0.2">
      <c r="A48" s="1413" t="s">
        <v>435</v>
      </c>
      <c r="B48" s="1414"/>
      <c r="C48" s="1414"/>
      <c r="D48" s="1415"/>
      <c r="E48" s="863">
        <v>60700</v>
      </c>
      <c r="F48" s="836">
        <f>E48*(1+'Løntabel gældende fra'!$D$7/100)</f>
        <v>64929.758099999999</v>
      </c>
      <c r="G48" s="837">
        <f>F48/12</f>
        <v>5410.8131750000002</v>
      </c>
    </row>
    <row r="49" spans="1:10" ht="22.5" customHeight="1" thickBot="1" x14ac:dyDescent="0.2">
      <c r="A49" s="1373" t="s">
        <v>440</v>
      </c>
      <c r="B49" s="1374"/>
      <c r="C49" s="1374"/>
      <c r="D49" s="1374"/>
      <c r="E49" s="1374"/>
      <c r="F49" s="1374"/>
      <c r="G49" s="1375"/>
    </row>
    <row r="50" spans="1:10" x14ac:dyDescent="0.15">
      <c r="A50" s="1416" t="s">
        <v>439</v>
      </c>
      <c r="B50" s="1417"/>
      <c r="C50" s="1417"/>
      <c r="D50" s="1330"/>
      <c r="E50" s="1404" t="s">
        <v>138</v>
      </c>
      <c r="F50" s="1406" t="s">
        <v>398</v>
      </c>
      <c r="G50" s="1408" t="s">
        <v>303</v>
      </c>
    </row>
    <row r="51" spans="1:10" x14ac:dyDescent="0.15">
      <c r="A51" s="1418"/>
      <c r="B51" s="1419"/>
      <c r="C51" s="1419"/>
      <c r="D51" s="1420"/>
      <c r="E51" s="1405"/>
      <c r="F51" s="1407"/>
      <c r="G51" s="1409"/>
    </row>
    <row r="52" spans="1:10" ht="15" thickBot="1" x14ac:dyDescent="0.2">
      <c r="A52" s="1421"/>
      <c r="B52" s="1422"/>
      <c r="C52" s="1422"/>
      <c r="D52" s="1423"/>
      <c r="E52" s="942">
        <v>40999</v>
      </c>
      <c r="F52" s="909" t="str">
        <f>'Løntabel gældende fra'!$D$1</f>
        <v>01/04/2018</v>
      </c>
      <c r="G52" s="916">
        <v>43070</v>
      </c>
      <c r="J52" s="832"/>
    </row>
    <row r="53" spans="1:10" x14ac:dyDescent="0.15">
      <c r="A53" s="1424">
        <v>-200</v>
      </c>
      <c r="B53" s="1425"/>
      <c r="C53" s="1425"/>
      <c r="D53" s="1426"/>
      <c r="E53" s="905">
        <v>12500</v>
      </c>
      <c r="F53" s="903">
        <f>E53*(1+'Løntabel gældende fra'!$D$7/100)</f>
        <v>13371.037499999999</v>
      </c>
      <c r="G53" s="454">
        <f>F53/12</f>
        <v>1114.253125</v>
      </c>
      <c r="J53" s="834"/>
    </row>
    <row r="54" spans="1:10" ht="14" customHeight="1" x14ac:dyDescent="0.15">
      <c r="A54" s="1410" t="s">
        <v>438</v>
      </c>
      <c r="B54" s="1411"/>
      <c r="C54" s="1411"/>
      <c r="D54" s="1412"/>
      <c r="E54" s="861">
        <v>13600</v>
      </c>
      <c r="F54" s="835">
        <f>E54*(1+'Løntabel gældende fra'!$D$7/100)</f>
        <v>14547.6888</v>
      </c>
      <c r="G54" s="452">
        <f>F54/12</f>
        <v>1212.3073999999999</v>
      </c>
    </row>
    <row r="55" spans="1:10" ht="15" customHeight="1" x14ac:dyDescent="0.15">
      <c r="A55" s="1410" t="s">
        <v>437</v>
      </c>
      <c r="B55" s="1411"/>
      <c r="C55" s="1411"/>
      <c r="D55" s="1412"/>
      <c r="E55" s="861">
        <v>18200</v>
      </c>
      <c r="F55" s="835">
        <f>E55*(1+'Løntabel gældende fra'!$D$7/100)</f>
        <v>19468.230599999999</v>
      </c>
      <c r="G55" s="452">
        <f>F55/12</f>
        <v>1622.3525499999998</v>
      </c>
    </row>
    <row r="56" spans="1:10" ht="15" customHeight="1" x14ac:dyDescent="0.15">
      <c r="A56" s="1410" t="s">
        <v>436</v>
      </c>
      <c r="B56" s="1411"/>
      <c r="C56" s="1411"/>
      <c r="D56" s="1412"/>
      <c r="E56" s="861">
        <v>25200</v>
      </c>
      <c r="F56" s="835">
        <f>E56*(1+'Løntabel gældende fra'!$D$7/100)</f>
        <v>26956.011599999998</v>
      </c>
      <c r="G56" s="452">
        <f>F56/12</f>
        <v>2246.3343</v>
      </c>
    </row>
    <row r="57" spans="1:10" ht="16.5" customHeight="1" thickBot="1" x14ac:dyDescent="0.2">
      <c r="A57" s="1413" t="s">
        <v>435</v>
      </c>
      <c r="B57" s="1414"/>
      <c r="C57" s="1414"/>
      <c r="D57" s="1415"/>
      <c r="E57" s="863">
        <v>28000</v>
      </c>
      <c r="F57" s="836">
        <f>E57*(1+'Løntabel gældende fra'!$D$7/100)</f>
        <v>29951.124</v>
      </c>
      <c r="G57" s="837">
        <f>F57/12</f>
        <v>2495.9270000000001</v>
      </c>
    </row>
    <row r="58" spans="1:10" ht="15.75" customHeight="1" thickBot="1" x14ac:dyDescent="0.2">
      <c r="A58" s="847"/>
      <c r="B58" s="847"/>
      <c r="C58" s="847"/>
      <c r="D58" s="847"/>
      <c r="E58" s="847"/>
      <c r="F58" s="847"/>
      <c r="G58" s="847"/>
    </row>
    <row r="59" spans="1:10" ht="17.25" customHeight="1" x14ac:dyDescent="0.2">
      <c r="A59" s="1164" t="s">
        <v>434</v>
      </c>
      <c r="B59" s="1165"/>
      <c r="C59" s="1165"/>
      <c r="D59" s="1165"/>
      <c r="E59" s="1165"/>
      <c r="F59" s="1165"/>
      <c r="G59" s="1166"/>
    </row>
    <row r="60" spans="1:10" ht="17.25" customHeight="1" thickBot="1" x14ac:dyDescent="0.25">
      <c r="A60" s="1188" t="s">
        <v>455</v>
      </c>
      <c r="B60" s="1189"/>
      <c r="C60" s="1189"/>
      <c r="D60" s="1189"/>
      <c r="E60" s="1189"/>
      <c r="F60" s="1189"/>
      <c r="G60" s="1190"/>
    </row>
    <row r="61" spans="1:10" ht="28" customHeight="1" x14ac:dyDescent="0.15">
      <c r="A61" s="1395" t="s">
        <v>472</v>
      </c>
      <c r="B61" s="1338"/>
      <c r="C61" s="1339" t="s">
        <v>433</v>
      </c>
      <c r="D61" s="1361" t="s">
        <v>138</v>
      </c>
      <c r="E61" s="1338" t="s">
        <v>398</v>
      </c>
      <c r="F61" s="1356" t="s">
        <v>303</v>
      </c>
      <c r="G61" s="1393" t="s">
        <v>495</v>
      </c>
    </row>
    <row r="62" spans="1:10" ht="17.25" customHeight="1" x14ac:dyDescent="0.15">
      <c r="A62" s="1396"/>
      <c r="B62" s="1340"/>
      <c r="C62" s="1341"/>
      <c r="D62" s="1362"/>
      <c r="E62" s="1340"/>
      <c r="F62" s="1357"/>
      <c r="G62" s="1394"/>
    </row>
    <row r="63" spans="1:10" ht="14" customHeight="1" thickBot="1" x14ac:dyDescent="0.2">
      <c r="A63" s="1397"/>
      <c r="B63" s="1336"/>
      <c r="C63" s="1337"/>
      <c r="D63" s="941">
        <v>40999</v>
      </c>
      <c r="E63" s="909" t="str">
        <f>'Løntabel gældende fra'!$D$1</f>
        <v>01/04/2018</v>
      </c>
      <c r="F63" s="904">
        <v>43070</v>
      </c>
      <c r="G63" s="910">
        <v>0.16800000000000001</v>
      </c>
      <c r="H63" s="832"/>
    </row>
    <row r="64" spans="1:10" ht="14" customHeight="1" x14ac:dyDescent="0.15">
      <c r="A64" s="1470" t="s">
        <v>432</v>
      </c>
      <c r="B64" s="1471"/>
      <c r="C64" s="912" t="s">
        <v>431</v>
      </c>
      <c r="D64" s="911">
        <v>4300</v>
      </c>
      <c r="E64" s="907">
        <f>D64*(1+'Løntabel gældende fra'!$D$7/100)</f>
        <v>4599.6368999999995</v>
      </c>
      <c r="F64" s="907">
        <f t="shared" ref="F64:F69" si="2">E64/12</f>
        <v>383.30307499999998</v>
      </c>
      <c r="G64" s="908">
        <f t="shared" ref="G64:G69" si="3">F64*0.168</f>
        <v>64.394916600000002</v>
      </c>
    </row>
    <row r="65" spans="1:9" ht="14.5" customHeight="1" x14ac:dyDescent="0.15">
      <c r="A65" s="1047" t="s">
        <v>428</v>
      </c>
      <c r="B65" s="1467"/>
      <c r="C65" s="913" t="s">
        <v>430</v>
      </c>
      <c r="D65" s="906">
        <v>6900</v>
      </c>
      <c r="E65" s="838">
        <f>D65*(1+'Løntabel gældende fra'!$D$7/100)</f>
        <v>7380.8126999999995</v>
      </c>
      <c r="F65" s="838">
        <f t="shared" si="2"/>
        <v>615.067725</v>
      </c>
      <c r="G65" s="842">
        <f t="shared" si="3"/>
        <v>103.33137780000001</v>
      </c>
    </row>
    <row r="66" spans="1:9" ht="14" customHeight="1" x14ac:dyDescent="0.15">
      <c r="A66" s="1047" t="s">
        <v>428</v>
      </c>
      <c r="B66" s="1467"/>
      <c r="C66" s="913" t="s">
        <v>429</v>
      </c>
      <c r="D66" s="861">
        <v>12600</v>
      </c>
      <c r="E66" s="838">
        <f>D66*(1+'Løntabel gældende fra'!$D$7/100)</f>
        <v>13478.005799999999</v>
      </c>
      <c r="F66" s="838">
        <f t="shared" si="2"/>
        <v>1123.16715</v>
      </c>
      <c r="G66" s="842">
        <f t="shared" si="3"/>
        <v>188.69208120000002</v>
      </c>
    </row>
    <row r="67" spans="1:9" ht="15.75" customHeight="1" x14ac:dyDescent="0.15">
      <c r="A67" s="1047" t="s">
        <v>428</v>
      </c>
      <c r="B67" s="1467"/>
      <c r="C67" s="913" t="s">
        <v>427</v>
      </c>
      <c r="D67" s="861">
        <v>19500</v>
      </c>
      <c r="E67" s="838">
        <f>D67*(1+'Løntabel gældende fra'!$D$7/100)</f>
        <v>20858.818499999998</v>
      </c>
      <c r="F67" s="838">
        <f t="shared" si="2"/>
        <v>1738.2348749999999</v>
      </c>
      <c r="G67" s="842">
        <f t="shared" si="3"/>
        <v>292.023459</v>
      </c>
    </row>
    <row r="68" spans="1:9" ht="32.25" customHeight="1" x14ac:dyDescent="0.15">
      <c r="A68" s="1047" t="s">
        <v>425</v>
      </c>
      <c r="B68" s="1467"/>
      <c r="C68" s="914" t="s">
        <v>426</v>
      </c>
      <c r="D68" s="906">
        <v>19500</v>
      </c>
      <c r="E68" s="838">
        <f>D68*(1+'Løntabel gældende fra'!$D$7/100)</f>
        <v>20858.818499999998</v>
      </c>
      <c r="F68" s="838">
        <f t="shared" si="2"/>
        <v>1738.2348749999999</v>
      </c>
      <c r="G68" s="842">
        <f t="shared" si="3"/>
        <v>292.023459</v>
      </c>
    </row>
    <row r="69" spans="1:9" ht="29.25" customHeight="1" thickBot="1" x14ac:dyDescent="0.2">
      <c r="A69" s="1492" t="s">
        <v>425</v>
      </c>
      <c r="B69" s="1493"/>
      <c r="C69" s="915" t="s">
        <v>483</v>
      </c>
      <c r="D69" s="862">
        <v>39000</v>
      </c>
      <c r="E69" s="839">
        <f>D69*(1+'Løntabel gældende fra'!$D$7/100)</f>
        <v>41717.636999999995</v>
      </c>
      <c r="F69" s="839">
        <f t="shared" si="2"/>
        <v>3476.4697499999997</v>
      </c>
      <c r="G69" s="840">
        <f t="shared" si="3"/>
        <v>584.04691800000001</v>
      </c>
    </row>
    <row r="70" spans="1:9" ht="14" customHeight="1" thickBot="1" x14ac:dyDescent="0.2">
      <c r="A70" s="848"/>
      <c r="B70" s="848"/>
      <c r="C70" s="848"/>
      <c r="D70" s="848"/>
      <c r="E70" s="848"/>
      <c r="F70" s="848"/>
      <c r="G70" s="848"/>
      <c r="H70" s="832"/>
      <c r="I70" s="832"/>
    </row>
    <row r="71" spans="1:9" ht="16.5" customHeight="1" x14ac:dyDescent="0.2">
      <c r="A71" s="1164" t="s">
        <v>424</v>
      </c>
      <c r="B71" s="1165"/>
      <c r="C71" s="1165"/>
      <c r="D71" s="1165"/>
      <c r="E71" s="1165"/>
      <c r="F71" s="1165"/>
      <c r="G71" s="1166"/>
    </row>
    <row r="72" spans="1:9" ht="16" customHeight="1" thickBot="1" x14ac:dyDescent="0.25">
      <c r="A72" s="1456" t="s">
        <v>456</v>
      </c>
      <c r="B72" s="1457"/>
      <c r="C72" s="1457"/>
      <c r="D72" s="1457"/>
      <c r="E72" s="1457"/>
      <c r="F72" s="1457"/>
      <c r="G72" s="1458"/>
    </row>
    <row r="73" spans="1:9" ht="16.5" customHeight="1" x14ac:dyDescent="0.15">
      <c r="A73" s="1416" t="s">
        <v>138</v>
      </c>
      <c r="B73" s="1459"/>
      <c r="C73" s="1329" t="s">
        <v>398</v>
      </c>
      <c r="D73" s="1459"/>
      <c r="E73" s="1338" t="s">
        <v>416</v>
      </c>
      <c r="F73" s="1338"/>
      <c r="G73" s="1339"/>
    </row>
    <row r="74" spans="1:9" ht="15" customHeight="1" x14ac:dyDescent="0.15">
      <c r="A74" s="1460"/>
      <c r="B74" s="1461"/>
      <c r="C74" s="1331"/>
      <c r="D74" s="1461"/>
      <c r="E74" s="1340"/>
      <c r="F74" s="1340"/>
      <c r="G74" s="1341"/>
    </row>
    <row r="75" spans="1:9" ht="15" thickBot="1" x14ac:dyDescent="0.2">
      <c r="A75" s="1398">
        <v>40999</v>
      </c>
      <c r="B75" s="1399"/>
      <c r="C75" s="1400" t="str">
        <f>'Løntabel gældende fra'!$D$1</f>
        <v>01/04/2018</v>
      </c>
      <c r="D75" s="1401"/>
      <c r="E75" s="1336" t="s">
        <v>415</v>
      </c>
      <c r="F75" s="1336"/>
      <c r="G75" s="1337"/>
    </row>
    <row r="76" spans="1:9" ht="21.75" customHeight="1" thickBot="1" x14ac:dyDescent="0.2">
      <c r="A76" s="1358">
        <v>21900</v>
      </c>
      <c r="B76" s="1359"/>
      <c r="C76" s="1360">
        <f>A76*(1+'Løntabel gældende fra'!$D$7/100)</f>
        <v>23426.057699999998</v>
      </c>
      <c r="D76" s="1359"/>
      <c r="E76" s="1388">
        <f>C76*0.168</f>
        <v>3935.5776935999997</v>
      </c>
      <c r="F76" s="1388"/>
      <c r="G76" s="1389"/>
    </row>
    <row r="77" spans="1:9" ht="16.5" customHeight="1" x14ac:dyDescent="0.2">
      <c r="A77" s="7" t="s">
        <v>423</v>
      </c>
      <c r="B77" s="841"/>
      <c r="C77" s="841"/>
      <c r="D77" s="841"/>
      <c r="E77" s="841"/>
      <c r="F77" s="841"/>
      <c r="G77" s="841"/>
    </row>
    <row r="78" spans="1:9" ht="21" customHeight="1" thickBot="1" x14ac:dyDescent="0.2">
      <c r="A78" s="14"/>
      <c r="B78" s="14"/>
      <c r="C78" s="14"/>
      <c r="D78" s="14"/>
      <c r="E78" s="14"/>
      <c r="F78" s="14"/>
      <c r="G78" s="14"/>
    </row>
    <row r="79" spans="1:9" ht="19.5" customHeight="1" x14ac:dyDescent="0.2">
      <c r="A79" s="1528" t="s">
        <v>422</v>
      </c>
      <c r="B79" s="1529"/>
      <c r="C79" s="1529"/>
      <c r="D79" s="1529"/>
      <c r="E79" s="1529"/>
      <c r="F79" s="1529"/>
      <c r="G79" s="1530"/>
    </row>
    <row r="80" spans="1:9" ht="20.25" customHeight="1" thickBot="1" x14ac:dyDescent="0.25">
      <c r="A80" s="1456" t="s">
        <v>457</v>
      </c>
      <c r="B80" s="1457"/>
      <c r="C80" s="1457"/>
      <c r="D80" s="1457"/>
      <c r="E80" s="1457"/>
      <c r="F80" s="1457"/>
      <c r="G80" s="1458"/>
    </row>
    <row r="81" spans="1:10" ht="12.75" customHeight="1" x14ac:dyDescent="0.15">
      <c r="A81" s="1531" t="s">
        <v>138</v>
      </c>
      <c r="B81" s="1532"/>
      <c r="C81" s="1532"/>
      <c r="D81" s="1533"/>
      <c r="E81" s="1541" t="s">
        <v>398</v>
      </c>
      <c r="F81" s="1542"/>
      <c r="G81" s="1543"/>
    </row>
    <row r="82" spans="1:10" ht="11.25" customHeight="1" x14ac:dyDescent="0.15">
      <c r="A82" s="1534"/>
      <c r="B82" s="1535"/>
      <c r="C82" s="1535"/>
      <c r="D82" s="1536"/>
      <c r="E82" s="1544"/>
      <c r="F82" s="1545"/>
      <c r="G82" s="1546"/>
    </row>
    <row r="83" spans="1:10" ht="12.75" customHeight="1" thickBot="1" x14ac:dyDescent="0.2">
      <c r="A83" s="1537">
        <v>40999</v>
      </c>
      <c r="B83" s="1538"/>
      <c r="C83" s="1538"/>
      <c r="D83" s="1539"/>
      <c r="E83" s="1547" t="str">
        <f>'Løntabel gældende fra'!$D$1</f>
        <v>01/04/2018</v>
      </c>
      <c r="F83" s="1548"/>
      <c r="G83" s="1549"/>
      <c r="J83" s="833"/>
    </row>
    <row r="84" spans="1:10" ht="17.25" customHeight="1" thickBot="1" x14ac:dyDescent="0.2">
      <c r="A84" s="1358">
        <v>8800</v>
      </c>
      <c r="B84" s="1540"/>
      <c r="C84" s="1540"/>
      <c r="D84" s="1359"/>
      <c r="E84" s="1360">
        <f>A84*(1+'Løntabel gældende fra'!$D$7/100)</f>
        <v>9413.2103999999999</v>
      </c>
      <c r="F84" s="1540"/>
      <c r="G84" s="1550"/>
      <c r="J84" s="832"/>
    </row>
    <row r="85" spans="1:10" s="27" customFormat="1" ht="17.25" customHeight="1" thickBot="1" x14ac:dyDescent="0.2">
      <c r="A85" s="256"/>
      <c r="B85" s="256"/>
      <c r="C85" s="256"/>
      <c r="D85" s="256"/>
      <c r="E85" s="256"/>
      <c r="F85" s="256"/>
      <c r="G85" s="256"/>
      <c r="J85" s="832"/>
    </row>
    <row r="86" spans="1:10" ht="21" customHeight="1" thickBot="1" x14ac:dyDescent="0.2">
      <c r="A86" s="1472" t="s">
        <v>458</v>
      </c>
      <c r="B86" s="1473"/>
      <c r="C86" s="1473"/>
      <c r="D86" s="1473"/>
      <c r="E86" s="1473"/>
      <c r="F86" s="1473"/>
      <c r="G86" s="1474"/>
      <c r="J86" s="832"/>
    </row>
    <row r="87" spans="1:10" s="27" customFormat="1" ht="12.75" customHeight="1" thickBot="1" x14ac:dyDescent="0.2">
      <c r="A87" s="858"/>
      <c r="B87" s="858"/>
      <c r="C87" s="858"/>
      <c r="D87" s="858"/>
      <c r="E87" s="858"/>
      <c r="F87" s="858"/>
      <c r="G87" s="858"/>
    </row>
    <row r="88" spans="1:10" ht="17.25" customHeight="1" x14ac:dyDescent="0.2">
      <c r="A88" s="1475" t="s">
        <v>412</v>
      </c>
      <c r="B88" s="1476"/>
      <c r="C88" s="1476"/>
      <c r="D88" s="1476"/>
      <c r="E88" s="1476"/>
      <c r="F88" s="1476"/>
      <c r="G88" s="1477"/>
      <c r="H88" s="27"/>
    </row>
    <row r="89" spans="1:10" ht="17" thickBot="1" x14ac:dyDescent="0.25">
      <c r="A89" s="1449" t="s">
        <v>482</v>
      </c>
      <c r="B89" s="1450"/>
      <c r="C89" s="1450"/>
      <c r="D89" s="1450"/>
      <c r="E89" s="1451"/>
      <c r="F89" s="1451"/>
      <c r="G89" s="1452"/>
      <c r="H89" s="27"/>
    </row>
    <row r="90" spans="1:10" ht="15" customHeight="1" x14ac:dyDescent="0.15">
      <c r="A90" s="1453" t="s">
        <v>58</v>
      </c>
      <c r="B90" s="1465" t="s">
        <v>138</v>
      </c>
      <c r="C90" s="1346" t="s">
        <v>398</v>
      </c>
      <c r="D90" s="1554" t="s">
        <v>462</v>
      </c>
      <c r="E90" s="1345" t="s">
        <v>95</v>
      </c>
      <c r="F90" s="1346"/>
      <c r="G90" s="1347"/>
      <c r="H90" s="884"/>
      <c r="I90" s="884"/>
    </row>
    <row r="91" spans="1:10" ht="14" customHeight="1" x14ac:dyDescent="0.15">
      <c r="A91" s="1454"/>
      <c r="B91" s="1466"/>
      <c r="C91" s="1349"/>
      <c r="D91" s="1555"/>
      <c r="E91" s="1348"/>
      <c r="F91" s="1349"/>
      <c r="G91" s="1350"/>
    </row>
    <row r="92" spans="1:10" ht="15.75" customHeight="1" thickBot="1" x14ac:dyDescent="0.2">
      <c r="A92" s="1455"/>
      <c r="B92" s="922">
        <v>40999</v>
      </c>
      <c r="C92" s="923" t="str">
        <f>'Løntabel gældende fra'!$D$1</f>
        <v>01/04/2018</v>
      </c>
      <c r="D92" s="924">
        <v>43070</v>
      </c>
      <c r="E92" s="1342" t="s">
        <v>411</v>
      </c>
      <c r="F92" s="1343"/>
      <c r="G92" s="1344"/>
    </row>
    <row r="93" spans="1:10" ht="17.25" customHeight="1" thickBot="1" x14ac:dyDescent="0.2">
      <c r="A93" s="918">
        <v>50</v>
      </c>
      <c r="B93" s="917">
        <v>521094</v>
      </c>
      <c r="C93" s="919">
        <f>B93*(1+'Løntabel gældende fra'!$D$7/100)</f>
        <v>557405.39320199995</v>
      </c>
      <c r="D93" s="920">
        <f>C93/12</f>
        <v>46450.449433499998</v>
      </c>
      <c r="E93" s="1390">
        <f>D93*0.171</f>
        <v>7943.0268531285001</v>
      </c>
      <c r="F93" s="1391"/>
      <c r="G93" s="1392"/>
    </row>
    <row r="94" spans="1:10" ht="20.25" customHeight="1" x14ac:dyDescent="0.15">
      <c r="A94" s="1436" t="s">
        <v>499</v>
      </c>
      <c r="B94" s="1436"/>
      <c r="C94" s="1436"/>
      <c r="D94" s="1436"/>
      <c r="E94" s="1437"/>
      <c r="F94" s="1437"/>
      <c r="G94" s="1437"/>
      <c r="H94" s="832"/>
      <c r="I94" s="832"/>
    </row>
    <row r="95" spans="1:10" ht="32.25" customHeight="1" thickBot="1" x14ac:dyDescent="0.2">
      <c r="A95" s="1438"/>
      <c r="B95" s="1438"/>
      <c r="C95" s="1438"/>
      <c r="D95" s="1438"/>
      <c r="E95" s="1438"/>
      <c r="F95" s="1438"/>
      <c r="G95" s="1438"/>
      <c r="H95" s="832"/>
      <c r="I95" s="832"/>
    </row>
    <row r="96" spans="1:10" ht="21.75" customHeight="1" thickBot="1" x14ac:dyDescent="0.25">
      <c r="A96" s="1551" t="s">
        <v>421</v>
      </c>
      <c r="B96" s="1552"/>
      <c r="C96" s="1552"/>
      <c r="D96" s="1552"/>
      <c r="E96" s="1552"/>
      <c r="F96" s="1552"/>
      <c r="G96" s="1553"/>
      <c r="H96" s="833"/>
    </row>
    <row r="97" spans="1:8" ht="12.75" customHeight="1" x14ac:dyDescent="0.15">
      <c r="A97" s="1480" t="s">
        <v>420</v>
      </c>
      <c r="B97" s="1483" t="s">
        <v>459</v>
      </c>
      <c r="C97" s="1484"/>
      <c r="D97" s="1485"/>
      <c r="E97" s="1439" t="s">
        <v>459</v>
      </c>
      <c r="F97" s="1440"/>
      <c r="G97" s="1441"/>
      <c r="H97" s="832"/>
    </row>
    <row r="98" spans="1:8" ht="21" customHeight="1" x14ac:dyDescent="0.15">
      <c r="A98" s="1481"/>
      <c r="B98" s="1486">
        <v>40999</v>
      </c>
      <c r="C98" s="1487"/>
      <c r="D98" s="1488"/>
      <c r="E98" s="1442" t="str">
        <f>'Løntabel gældende fra'!$D$1</f>
        <v>01/04/2018</v>
      </c>
      <c r="F98" s="1443"/>
      <c r="G98" s="1444"/>
    </row>
    <row r="99" spans="1:8" ht="16.5" customHeight="1" x14ac:dyDescent="0.15">
      <c r="A99" s="1481"/>
      <c r="B99" s="1489"/>
      <c r="C99" s="1490"/>
      <c r="D99" s="1491"/>
      <c r="E99" s="1445"/>
      <c r="F99" s="1446"/>
      <c r="G99" s="1447"/>
    </row>
    <row r="100" spans="1:8" ht="19.5" customHeight="1" thickBot="1" x14ac:dyDescent="0.2">
      <c r="A100" s="1482"/>
      <c r="B100" s="1559" t="s">
        <v>460</v>
      </c>
      <c r="C100" s="1448"/>
      <c r="D100" s="930" t="s">
        <v>461</v>
      </c>
      <c r="E100" s="1448" t="s">
        <v>460</v>
      </c>
      <c r="F100" s="1448"/>
      <c r="G100" s="931" t="s">
        <v>461</v>
      </c>
    </row>
    <row r="101" spans="1:8" ht="14.25" customHeight="1" x14ac:dyDescent="0.15">
      <c r="A101" s="940">
        <v>1</v>
      </c>
      <c r="B101" s="1560">
        <v>485345</v>
      </c>
      <c r="C101" s="1561"/>
      <c r="D101" s="928">
        <v>511173</v>
      </c>
      <c r="E101" s="1478">
        <f>B101*(1+'Løntabel gældende fra'!$D$7/100)</f>
        <v>519165.29563499999</v>
      </c>
      <c r="F101" s="1478"/>
      <c r="G101" s="929">
        <f>D101*(1+'Løntabel gældende fra'!$D$7/100)</f>
        <v>546793.06815900002</v>
      </c>
    </row>
    <row r="102" spans="1:8" ht="17" thickBot="1" x14ac:dyDescent="0.2">
      <c r="A102" s="927">
        <v>2</v>
      </c>
      <c r="B102" s="1434">
        <v>450909</v>
      </c>
      <c r="C102" s="1435"/>
      <c r="D102" s="925">
        <v>472431</v>
      </c>
      <c r="E102" s="1479">
        <f>B102*(1+'Løntabel gældende fra'!$D$7/100)</f>
        <v>482329.69184699998</v>
      </c>
      <c r="F102" s="1479"/>
      <c r="G102" s="926">
        <f>D102*(1+'Løntabel gældende fra'!$D$7/100)</f>
        <v>505351.40937299997</v>
      </c>
    </row>
    <row r="103" spans="1:8" x14ac:dyDescent="0.15">
      <c r="A103" s="1372" t="s">
        <v>498</v>
      </c>
      <c r="B103" s="1372"/>
      <c r="C103" s="1372"/>
      <c r="D103" s="1372"/>
      <c r="E103" s="1372"/>
      <c r="F103" s="1372"/>
      <c r="G103" s="1372"/>
    </row>
    <row r="104" spans="1:8" ht="18" customHeight="1" thickBot="1" x14ac:dyDescent="0.2">
      <c r="A104" s="27"/>
    </row>
    <row r="105" spans="1:8" ht="19" thickBot="1" x14ac:dyDescent="0.25">
      <c r="A105" s="1556" t="s">
        <v>419</v>
      </c>
      <c r="B105" s="1557"/>
      <c r="C105" s="1557"/>
      <c r="D105" s="1557"/>
      <c r="E105" s="1557"/>
      <c r="F105" s="1557"/>
      <c r="G105" s="1558"/>
    </row>
    <row r="106" spans="1:8" ht="26.25" customHeight="1" x14ac:dyDescent="0.15">
      <c r="A106" s="1462" t="s">
        <v>283</v>
      </c>
      <c r="B106" s="1345" t="s">
        <v>138</v>
      </c>
      <c r="C106" s="1346" t="s">
        <v>398</v>
      </c>
      <c r="D106" s="1520" t="s">
        <v>303</v>
      </c>
      <c r="E106" s="1346" t="s">
        <v>416</v>
      </c>
      <c r="F106" s="1346"/>
      <c r="G106" s="1347"/>
    </row>
    <row r="107" spans="1:8" ht="21.75" customHeight="1" x14ac:dyDescent="0.15">
      <c r="A107" s="1463"/>
      <c r="B107" s="1348"/>
      <c r="C107" s="1349"/>
      <c r="D107" s="1521"/>
      <c r="E107" s="1349"/>
      <c r="F107" s="1349"/>
      <c r="G107" s="1350"/>
    </row>
    <row r="108" spans="1:8" ht="18" customHeight="1" thickBot="1" x14ac:dyDescent="0.2">
      <c r="A108" s="1463"/>
      <c r="B108" s="933">
        <v>40999</v>
      </c>
      <c r="C108" s="923" t="str">
        <f>'Løntabel gældende fra'!$D$1</f>
        <v>01/04/2018</v>
      </c>
      <c r="D108" s="934">
        <v>43070</v>
      </c>
      <c r="E108" s="1351" t="s">
        <v>415</v>
      </c>
      <c r="F108" s="1351"/>
      <c r="G108" s="1352"/>
    </row>
    <row r="109" spans="1:8" ht="17.25" customHeight="1" thickBot="1" x14ac:dyDescent="0.2">
      <c r="A109" s="1464"/>
      <c r="B109" s="932">
        <v>460000</v>
      </c>
      <c r="C109" s="921">
        <f>B109*(1+'Løntabel gældende fra'!$D$7/100)</f>
        <v>492054.18</v>
      </c>
      <c r="D109" s="920">
        <f>C109/12</f>
        <v>41004.514999999999</v>
      </c>
      <c r="E109" s="1522">
        <f>D109*0.168</f>
        <v>6888.7585200000003</v>
      </c>
      <c r="F109" s="1523"/>
      <c r="G109" s="1524"/>
    </row>
    <row r="110" spans="1:8" ht="17.25" customHeight="1" thickBot="1" x14ac:dyDescent="0.2">
      <c r="A110" s="871"/>
      <c r="B110" s="859"/>
      <c r="C110" s="859"/>
      <c r="D110" s="859"/>
      <c r="E110" s="860"/>
      <c r="F110" s="860"/>
      <c r="G110" s="860"/>
    </row>
    <row r="111" spans="1:8" ht="17.25" customHeight="1" x14ac:dyDescent="0.2">
      <c r="A111" s="1525" t="s">
        <v>418</v>
      </c>
      <c r="B111" s="1526"/>
      <c r="C111" s="1526"/>
      <c r="D111" s="1526"/>
      <c r="E111" s="1526"/>
      <c r="F111" s="1526"/>
      <c r="G111" s="1527"/>
    </row>
    <row r="112" spans="1:8" ht="19.5" customHeight="1" thickBot="1" x14ac:dyDescent="0.2">
      <c r="A112" s="1510" t="s">
        <v>417</v>
      </c>
      <c r="B112" s="1511"/>
      <c r="C112" s="1511"/>
      <c r="D112" s="1511"/>
      <c r="E112" s="1511"/>
      <c r="F112" s="1511"/>
      <c r="G112" s="1512"/>
    </row>
    <row r="113" spans="1:9" ht="20.25" customHeight="1" x14ac:dyDescent="0.15">
      <c r="A113" s="1453" t="s">
        <v>119</v>
      </c>
      <c r="B113" s="1514" t="s">
        <v>138</v>
      </c>
      <c r="C113" s="1516" t="s">
        <v>398</v>
      </c>
      <c r="D113" s="1518" t="s">
        <v>303</v>
      </c>
      <c r="E113" s="1346" t="s">
        <v>416</v>
      </c>
      <c r="F113" s="1346"/>
      <c r="G113" s="1347"/>
    </row>
    <row r="114" spans="1:9" ht="20.25" customHeight="1" x14ac:dyDescent="0.15">
      <c r="A114" s="1513"/>
      <c r="B114" s="1515"/>
      <c r="C114" s="1517"/>
      <c r="D114" s="1519"/>
      <c r="E114" s="1349"/>
      <c r="F114" s="1349"/>
      <c r="G114" s="1350"/>
    </row>
    <row r="115" spans="1:9" ht="21" customHeight="1" thickBot="1" x14ac:dyDescent="0.2">
      <c r="A115" s="939"/>
      <c r="B115" s="922">
        <v>40999</v>
      </c>
      <c r="C115" s="923" t="str">
        <f>'Løntabel gældende fra'!$D$1</f>
        <v>01/04/2018</v>
      </c>
      <c r="D115" s="934">
        <v>43070</v>
      </c>
      <c r="E115" s="1343" t="s">
        <v>415</v>
      </c>
      <c r="F115" s="1343"/>
      <c r="G115" s="1344"/>
    </row>
    <row r="116" spans="1:9" ht="19.5" customHeight="1" x14ac:dyDescent="0.15">
      <c r="A116" s="937" t="s">
        <v>414</v>
      </c>
      <c r="B116" s="935">
        <v>131590</v>
      </c>
      <c r="C116" s="951">
        <f>B116*(1+'Løntabel gældende fra'!$D$7/100)</f>
        <v>140759.58596999999</v>
      </c>
      <c r="D116" s="951">
        <f>C116/12</f>
        <v>11729.965497499999</v>
      </c>
      <c r="E116" s="1323">
        <f>D116*0.168</f>
        <v>1970.6342035800001</v>
      </c>
      <c r="F116" s="1323"/>
      <c r="G116" s="1324"/>
    </row>
    <row r="117" spans="1:9" ht="15.75" customHeight="1" thickBot="1" x14ac:dyDescent="0.2">
      <c r="A117" s="938" t="s">
        <v>413</v>
      </c>
      <c r="B117" s="936">
        <v>150988</v>
      </c>
      <c r="C117" s="950">
        <f>B117*(1+'Løntabel gældende fra'!$D$7/100)</f>
        <v>161509.29680399998</v>
      </c>
      <c r="D117" s="950">
        <f>C117/12</f>
        <v>13459.108066999999</v>
      </c>
      <c r="E117" s="1325">
        <f>D117*0.168</f>
        <v>2261.1301552559999</v>
      </c>
      <c r="F117" s="1325"/>
      <c r="G117" s="1326"/>
    </row>
    <row r="118" spans="1:9" x14ac:dyDescent="0.15">
      <c r="A118" s="956" t="s">
        <v>469</v>
      </c>
      <c r="B118" s="855"/>
      <c r="C118" s="855"/>
      <c r="D118" s="855"/>
      <c r="E118" s="855"/>
      <c r="F118" s="855"/>
      <c r="G118" s="855"/>
      <c r="H118" s="857"/>
      <c r="I118" s="857"/>
    </row>
    <row r="119" spans="1:9" ht="15" customHeight="1" x14ac:dyDescent="0.15"/>
    <row r="121" spans="1:9" x14ac:dyDescent="0.15">
      <c r="A121" s="855"/>
      <c r="B121" s="855"/>
      <c r="C121" s="855"/>
      <c r="D121" s="855"/>
      <c r="E121" s="855"/>
      <c r="F121" s="855"/>
      <c r="G121" s="855"/>
    </row>
    <row r="123" spans="1:9" ht="15" customHeight="1" x14ac:dyDescent="0.15"/>
    <row r="131" spans="1:7" x14ac:dyDescent="0.15">
      <c r="A131" s="857"/>
      <c r="B131" s="857"/>
      <c r="C131" s="857"/>
      <c r="D131" s="857"/>
      <c r="E131" s="857"/>
      <c r="F131" s="857"/>
      <c r="G131" s="857"/>
    </row>
  </sheetData>
  <sheetProtection sheet="1" objects="1" scenarios="1"/>
  <mergeCells count="152">
    <mergeCell ref="A112:G112"/>
    <mergeCell ref="A113:A114"/>
    <mergeCell ref="B113:B114"/>
    <mergeCell ref="C113:C114"/>
    <mergeCell ref="D113:D114"/>
    <mergeCell ref="D106:D107"/>
    <mergeCell ref="E109:G109"/>
    <mergeCell ref="A71:G71"/>
    <mergeCell ref="A111:G111"/>
    <mergeCell ref="A79:G79"/>
    <mergeCell ref="A80:G80"/>
    <mergeCell ref="A81:D82"/>
    <mergeCell ref="A83:D83"/>
    <mergeCell ref="A84:D84"/>
    <mergeCell ref="E81:G82"/>
    <mergeCell ref="E83:G83"/>
    <mergeCell ref="E84:G84"/>
    <mergeCell ref="A96:G96"/>
    <mergeCell ref="C90:C91"/>
    <mergeCell ref="D90:D91"/>
    <mergeCell ref="A105:G105"/>
    <mergeCell ref="B106:B107"/>
    <mergeCell ref="B100:C100"/>
    <mergeCell ref="B101:C101"/>
    <mergeCell ref="A4:G4"/>
    <mergeCell ref="A5:G5"/>
    <mergeCell ref="E20:F20"/>
    <mergeCell ref="B19:C19"/>
    <mergeCell ref="E19:F19"/>
    <mergeCell ref="A8:B10"/>
    <mergeCell ref="A11:B11"/>
    <mergeCell ref="A12:B12"/>
    <mergeCell ref="A13:B13"/>
    <mergeCell ref="A14:B14"/>
    <mergeCell ref="A15:B15"/>
    <mergeCell ref="A16:H16"/>
    <mergeCell ref="B20:C20"/>
    <mergeCell ref="A18:C18"/>
    <mergeCell ref="D18:F18"/>
    <mergeCell ref="A106:A109"/>
    <mergeCell ref="B90:B91"/>
    <mergeCell ref="C8:C9"/>
    <mergeCell ref="D8:D9"/>
    <mergeCell ref="E8:E9"/>
    <mergeCell ref="A65:B65"/>
    <mergeCell ref="E21:F21"/>
    <mergeCell ref="B22:C22"/>
    <mergeCell ref="A26:B27"/>
    <mergeCell ref="A64:B64"/>
    <mergeCell ref="C106:C107"/>
    <mergeCell ref="A86:G86"/>
    <mergeCell ref="A88:G88"/>
    <mergeCell ref="E101:F101"/>
    <mergeCell ref="E102:F102"/>
    <mergeCell ref="A97:A100"/>
    <mergeCell ref="B97:D97"/>
    <mergeCell ref="B98:D99"/>
    <mergeCell ref="A37:G37"/>
    <mergeCell ref="A34:B34"/>
    <mergeCell ref="A69:B69"/>
    <mergeCell ref="A68:B68"/>
    <mergeCell ref="A67:B67"/>
    <mergeCell ref="A66:B66"/>
    <mergeCell ref="A59:G59"/>
    <mergeCell ref="B102:C102"/>
    <mergeCell ref="A94:G95"/>
    <mergeCell ref="E97:G97"/>
    <mergeCell ref="E98:G99"/>
    <mergeCell ref="E100:F100"/>
    <mergeCell ref="A89:G89"/>
    <mergeCell ref="A90:A92"/>
    <mergeCell ref="E41:E42"/>
    <mergeCell ref="F41:F42"/>
    <mergeCell ref="G41:G42"/>
    <mergeCell ref="A45:D45"/>
    <mergeCell ref="A46:D46"/>
    <mergeCell ref="E61:E62"/>
    <mergeCell ref="A72:G72"/>
    <mergeCell ref="A73:B74"/>
    <mergeCell ref="C73:D74"/>
    <mergeCell ref="B21:C21"/>
    <mergeCell ref="E50:E51"/>
    <mergeCell ref="F50:F51"/>
    <mergeCell ref="G50:G51"/>
    <mergeCell ref="D26:D27"/>
    <mergeCell ref="E26:E27"/>
    <mergeCell ref="A55:D55"/>
    <mergeCell ref="A56:D56"/>
    <mergeCell ref="A57:D57"/>
    <mergeCell ref="A47:D47"/>
    <mergeCell ref="A48:D48"/>
    <mergeCell ref="A50:D52"/>
    <mergeCell ref="A53:D53"/>
    <mergeCell ref="A54:D54"/>
    <mergeCell ref="A41:D43"/>
    <mergeCell ref="A44:D44"/>
    <mergeCell ref="C26:C27"/>
    <mergeCell ref="E22:F22"/>
    <mergeCell ref="A35:B35"/>
    <mergeCell ref="A33:B33"/>
    <mergeCell ref="A32:B32"/>
    <mergeCell ref="A31:B31"/>
    <mergeCell ref="A30:B30"/>
    <mergeCell ref="A29:B29"/>
    <mergeCell ref="A1:G1"/>
    <mergeCell ref="A6:G6"/>
    <mergeCell ref="A7:G7"/>
    <mergeCell ref="A60:G60"/>
    <mergeCell ref="A103:G103"/>
    <mergeCell ref="A49:G49"/>
    <mergeCell ref="A40:G40"/>
    <mergeCell ref="A38:G39"/>
    <mergeCell ref="F29:G29"/>
    <mergeCell ref="F30:G30"/>
    <mergeCell ref="F31:G31"/>
    <mergeCell ref="F32:G32"/>
    <mergeCell ref="F33:G33"/>
    <mergeCell ref="F34:G34"/>
    <mergeCell ref="F35:G35"/>
    <mergeCell ref="A24:G24"/>
    <mergeCell ref="A25:G25"/>
    <mergeCell ref="E76:G76"/>
    <mergeCell ref="E93:G93"/>
    <mergeCell ref="G61:G62"/>
    <mergeCell ref="C61:C63"/>
    <mergeCell ref="A61:B63"/>
    <mergeCell ref="A75:B75"/>
    <mergeCell ref="C75:D75"/>
    <mergeCell ref="E116:G116"/>
    <mergeCell ref="E117:G117"/>
    <mergeCell ref="A28:B28"/>
    <mergeCell ref="F26:G27"/>
    <mergeCell ref="F28:G28"/>
    <mergeCell ref="F10:G10"/>
    <mergeCell ref="F8:G9"/>
    <mergeCell ref="E75:G75"/>
    <mergeCell ref="E73:G74"/>
    <mergeCell ref="E92:G92"/>
    <mergeCell ref="E90:G91"/>
    <mergeCell ref="E108:G108"/>
    <mergeCell ref="E106:G107"/>
    <mergeCell ref="E113:G114"/>
    <mergeCell ref="E115:G115"/>
    <mergeCell ref="F11:G11"/>
    <mergeCell ref="F12:G12"/>
    <mergeCell ref="F13:G13"/>
    <mergeCell ref="F14:G14"/>
    <mergeCell ref="F15:G15"/>
    <mergeCell ref="F61:F62"/>
    <mergeCell ref="A76:B76"/>
    <mergeCell ref="C76:D76"/>
    <mergeCell ref="D61:D62"/>
  </mergeCells>
  <phoneticPr fontId="6" type="noConversion"/>
  <pageMargins left="0.70866141732283472" right="0.31496062992125984" top="0.74803149606299213" bottom="0.74803149606299213" header="0.31496062992125984" footer="0.31496062992125984"/>
  <pageSetup paperSize="9" scale="87" fitToWidth="0" fitToHeight="0" orientation="portrait" r:id="rId1"/>
  <rowBreaks count="3" manualBreakCount="3">
    <brk id="35" max="16383" man="1"/>
    <brk id="77" max="16383" man="1"/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87"/>
  <sheetViews>
    <sheetView view="pageBreakPreview" zoomScaleSheetLayoutView="100" workbookViewId="0">
      <selection activeCell="A2" sqref="A2:H2"/>
    </sheetView>
  </sheetViews>
  <sheetFormatPr baseColWidth="10" defaultColWidth="8.83203125" defaultRowHeight="14" x14ac:dyDescent="0.15"/>
  <cols>
    <col min="1" max="1" width="10" style="265" customWidth="1"/>
    <col min="2" max="8" width="17" style="265" customWidth="1"/>
    <col min="9" max="16384" width="8.83203125" style="265"/>
  </cols>
  <sheetData>
    <row r="1" spans="1:8" ht="20" x14ac:dyDescent="0.2">
      <c r="A1" s="1118" t="s">
        <v>20</v>
      </c>
      <c r="B1" s="1119"/>
      <c r="C1" s="1119"/>
      <c r="D1" s="1119"/>
      <c r="E1" s="1119"/>
      <c r="F1" s="1119"/>
      <c r="G1" s="1119"/>
      <c r="H1" s="1120"/>
    </row>
    <row r="2" spans="1:8" ht="20" x14ac:dyDescent="0.2">
      <c r="A2" s="1133" t="s">
        <v>180</v>
      </c>
      <c r="B2" s="1134"/>
      <c r="C2" s="1134"/>
      <c r="D2" s="1134"/>
      <c r="E2" s="1134"/>
      <c r="F2" s="1134"/>
      <c r="G2" s="1134"/>
      <c r="H2" s="1135"/>
    </row>
    <row r="3" spans="1:8" ht="21" thickBot="1" x14ac:dyDescent="0.25">
      <c r="A3" s="1265" t="str">
        <f>'Forside 1'!A6:I6</f>
        <v>Gældende fra 1. april 2018</v>
      </c>
      <c r="B3" s="1266"/>
      <c r="C3" s="1266"/>
      <c r="D3" s="1266"/>
      <c r="E3" s="1266"/>
      <c r="F3" s="1266"/>
      <c r="G3" s="1266"/>
      <c r="H3" s="1267"/>
    </row>
    <row r="4" spans="1:8" s="641" customFormat="1" ht="18.75" customHeight="1" thickBot="1" x14ac:dyDescent="0.2">
      <c r="A4" s="856"/>
      <c r="B4" s="856"/>
      <c r="C4" s="856"/>
      <c r="D4" s="856"/>
      <c r="E4" s="856"/>
      <c r="F4" s="856"/>
      <c r="G4" s="856"/>
      <c r="H4" s="856"/>
    </row>
    <row r="5" spans="1:8" ht="41.25" customHeight="1" thickBot="1" x14ac:dyDescent="0.2">
      <c r="A5" s="1633" t="s">
        <v>342</v>
      </c>
      <c r="B5" s="1634"/>
      <c r="C5" s="1634"/>
      <c r="D5" s="1634"/>
      <c r="E5" s="1634"/>
      <c r="F5" s="1635"/>
      <c r="G5" s="1629" t="s">
        <v>95</v>
      </c>
      <c r="H5" s="1630"/>
    </row>
    <row r="6" spans="1:8" ht="26" customHeight="1" thickBot="1" x14ac:dyDescent="0.2">
      <c r="A6" s="1626" t="s">
        <v>360</v>
      </c>
      <c r="B6" s="1627"/>
      <c r="C6" s="1627"/>
      <c r="D6" s="1627"/>
      <c r="E6" s="1627"/>
      <c r="F6" s="1627"/>
      <c r="G6" s="1627"/>
      <c r="H6" s="1628"/>
    </row>
    <row r="7" spans="1:8" x14ac:dyDescent="0.15">
      <c r="A7" s="955" t="s">
        <v>58</v>
      </c>
      <c r="B7" s="955" t="s">
        <v>77</v>
      </c>
      <c r="C7" s="955" t="s">
        <v>78</v>
      </c>
      <c r="D7" s="955" t="s">
        <v>79</v>
      </c>
      <c r="E7" s="955" t="s">
        <v>80</v>
      </c>
      <c r="F7" s="955" t="s">
        <v>81</v>
      </c>
      <c r="G7" s="955" t="s">
        <v>251</v>
      </c>
      <c r="H7" s="944">
        <v>0.14699999999999999</v>
      </c>
    </row>
    <row r="8" spans="1:8" ht="16" x14ac:dyDescent="0.2">
      <c r="A8" s="756">
        <v>14</v>
      </c>
      <c r="B8" s="757">
        <f>+'Statens skalatrin'!D46</f>
        <v>20289.330000000002</v>
      </c>
      <c r="C8" s="757">
        <f>+'Statens skalatrin'!F46</f>
        <v>20711.830000000002</v>
      </c>
      <c r="D8" s="757">
        <f>+'Statens skalatrin'!H46</f>
        <v>21004.33</v>
      </c>
      <c r="E8" s="757">
        <f>+'Statens skalatrin'!J46</f>
        <v>21426.75</v>
      </c>
      <c r="F8" s="757">
        <f>+'Statens skalatrin'!L46</f>
        <v>21719.17</v>
      </c>
      <c r="G8" s="758">
        <f>+'Statens skalatrin'!O46</f>
        <v>18969.87</v>
      </c>
      <c r="H8" s="758">
        <f t="shared" ref="H8:H32" si="0">G8*$H$7</f>
        <v>2788.5708899999995</v>
      </c>
    </row>
    <row r="9" spans="1:8" ht="16" x14ac:dyDescent="0.2">
      <c r="A9" s="756">
        <v>15</v>
      </c>
      <c r="B9" s="757">
        <f>+'Statens skalatrin'!D49</f>
        <v>20649.25</v>
      </c>
      <c r="C9" s="757">
        <f>+'Statens skalatrin'!F49</f>
        <v>21082.33</v>
      </c>
      <c r="D9" s="757">
        <f>+'Statens skalatrin'!H49</f>
        <v>21382.080000000002</v>
      </c>
      <c r="E9" s="757">
        <f>+'Statens skalatrin'!J49</f>
        <v>21815.33</v>
      </c>
      <c r="F9" s="757">
        <f>+'Statens skalatrin'!L49</f>
        <v>22115.17</v>
      </c>
      <c r="G9" s="758">
        <f>+'Statens skalatrin'!O49</f>
        <v>19307.03</v>
      </c>
      <c r="H9" s="758">
        <f t="shared" si="0"/>
        <v>2838.1334099999995</v>
      </c>
    </row>
    <row r="10" spans="1:8" ht="16" x14ac:dyDescent="0.2">
      <c r="A10" s="756">
        <v>16</v>
      </c>
      <c r="B10" s="757">
        <f>'Statens skalatrin'!D52</f>
        <v>20925.080000000002</v>
      </c>
      <c r="C10" s="757">
        <f>+'Statens skalatrin'!F52</f>
        <v>21369.17</v>
      </c>
      <c r="D10" s="757">
        <f>+'Statens skalatrin'!H52</f>
        <v>21676.67</v>
      </c>
      <c r="E10" s="757">
        <f>+'Statens skalatrin'!J52</f>
        <v>22120.67</v>
      </c>
      <c r="F10" s="757">
        <f>+'Statens skalatrin'!L52</f>
        <v>22428.25</v>
      </c>
      <c r="G10" s="758">
        <f>+'Statens skalatrin'!O52</f>
        <v>19653.689999999999</v>
      </c>
      <c r="H10" s="758">
        <f t="shared" si="0"/>
        <v>2889.0924299999997</v>
      </c>
    </row>
    <row r="11" spans="1:8" ht="16" x14ac:dyDescent="0.2">
      <c r="A11" s="756">
        <v>17</v>
      </c>
      <c r="B11" s="757">
        <f>'Statens skalatrin'!D55</f>
        <v>21305</v>
      </c>
      <c r="C11" s="757">
        <f>+'Statens skalatrin'!F55</f>
        <v>21760.42</v>
      </c>
      <c r="D11" s="757">
        <f>+'Statens skalatrin'!H55</f>
        <v>22075.67</v>
      </c>
      <c r="E11" s="757">
        <f>+'Statens skalatrin'!J55</f>
        <v>22531</v>
      </c>
      <c r="F11" s="757">
        <f>+'Statens skalatrin'!L55</f>
        <v>22846.080000000002</v>
      </c>
      <c r="G11" s="758">
        <f>+'Statens skalatrin'!O55</f>
        <v>20009.669999999998</v>
      </c>
      <c r="H11" s="758">
        <f t="shared" si="0"/>
        <v>2941.4214899999997</v>
      </c>
    </row>
    <row r="12" spans="1:8" ht="16" x14ac:dyDescent="0.2">
      <c r="A12" s="756">
        <v>18</v>
      </c>
      <c r="B12" s="757">
        <f>'Statens skalatrin'!D58</f>
        <v>21695.58</v>
      </c>
      <c r="C12" s="757">
        <f>+'Statens skalatrin'!F58</f>
        <v>22162.58</v>
      </c>
      <c r="D12" s="757">
        <f>+'Statens skalatrin'!H58</f>
        <v>22485.83</v>
      </c>
      <c r="E12" s="757">
        <f>+'Statens skalatrin'!J58</f>
        <v>22952.75</v>
      </c>
      <c r="F12" s="757">
        <f>+'Statens skalatrin'!L58</f>
        <v>23275.83</v>
      </c>
      <c r="G12" s="758">
        <f>+'Statens skalatrin'!O58</f>
        <v>20375.63</v>
      </c>
      <c r="H12" s="758">
        <f t="shared" si="0"/>
        <v>2995.2176100000001</v>
      </c>
    </row>
    <row r="13" spans="1:8" ht="16" x14ac:dyDescent="0.2">
      <c r="A13" s="756">
        <v>19</v>
      </c>
      <c r="B13" s="757">
        <f>'Statens skalatrin'!D61</f>
        <v>21987.08</v>
      </c>
      <c r="C13" s="757">
        <f>+'Statens skalatrin'!F61</f>
        <v>22465.919999999998</v>
      </c>
      <c r="D13" s="757">
        <f>+'Statens skalatrin'!H61</f>
        <v>22797.25</v>
      </c>
      <c r="E13" s="757">
        <f>+'Statens skalatrin'!J61</f>
        <v>23276.25</v>
      </c>
      <c r="F13" s="757">
        <f>+'Statens skalatrin'!L61</f>
        <v>23607.83</v>
      </c>
      <c r="G13" s="758">
        <f>+'Statens skalatrin'!O61</f>
        <v>20751.57</v>
      </c>
      <c r="H13" s="758">
        <f t="shared" si="0"/>
        <v>3050.4807899999996</v>
      </c>
    </row>
    <row r="14" spans="1:8" ht="16" x14ac:dyDescent="0.2">
      <c r="A14" s="756">
        <v>20</v>
      </c>
      <c r="B14" s="757">
        <f>+'Statens skalatrin'!D64</f>
        <v>22289.75</v>
      </c>
      <c r="C14" s="757">
        <f>+'Statens skalatrin'!F64</f>
        <v>22780.67</v>
      </c>
      <c r="D14" s="757">
        <f>+'Statens skalatrin'!H64</f>
        <v>23120.67</v>
      </c>
      <c r="E14" s="757">
        <f>+'Statens skalatrin'!J64</f>
        <v>23611.67</v>
      </c>
      <c r="F14" s="757">
        <f>+'Statens skalatrin'!L64</f>
        <v>23951.42</v>
      </c>
      <c r="G14" s="758">
        <f>+'Statens skalatrin'!O64</f>
        <v>21137.79</v>
      </c>
      <c r="H14" s="758">
        <f t="shared" si="0"/>
        <v>3107.25513</v>
      </c>
    </row>
    <row r="15" spans="1:8" ht="16" x14ac:dyDescent="0.2">
      <c r="A15" s="756">
        <v>21</v>
      </c>
      <c r="B15" s="757">
        <f>+'Statens skalatrin'!D67</f>
        <v>22658.75</v>
      </c>
      <c r="C15" s="757">
        <f>+'Statens skalatrin'!F67</f>
        <v>23162.33</v>
      </c>
      <c r="D15" s="757">
        <f>+'Statens skalatrin'!H67</f>
        <v>23510.92</v>
      </c>
      <c r="E15" s="757">
        <f>+'Statens skalatrin'!J67</f>
        <v>24014.5</v>
      </c>
      <c r="F15" s="757">
        <f>+'Statens skalatrin'!L67</f>
        <v>24363.08</v>
      </c>
      <c r="G15" s="758">
        <f>+'Statens skalatrin'!O67</f>
        <v>21534.799999999999</v>
      </c>
      <c r="H15" s="758">
        <f t="shared" si="0"/>
        <v>3165.6155999999996</v>
      </c>
    </row>
    <row r="16" spans="1:8" ht="16" x14ac:dyDescent="0.2">
      <c r="A16" s="756">
        <v>22</v>
      </c>
      <c r="B16" s="757">
        <f>+'Statens skalatrin'!D70</f>
        <v>23000.58</v>
      </c>
      <c r="C16" s="757">
        <f>+'Statens skalatrin'!F70</f>
        <v>23504.17</v>
      </c>
      <c r="D16" s="757">
        <f>+'Statens skalatrin'!H70</f>
        <v>23852.75</v>
      </c>
      <c r="E16" s="757">
        <f>+'Statens skalatrin'!J70</f>
        <v>24356.33</v>
      </c>
      <c r="F16" s="757">
        <f>+'Statens skalatrin'!L70</f>
        <v>24704.92</v>
      </c>
      <c r="G16" s="758">
        <f>+'Statens skalatrin'!O70</f>
        <v>21931.47</v>
      </c>
      <c r="H16" s="758">
        <f t="shared" si="0"/>
        <v>3223.9260899999999</v>
      </c>
    </row>
    <row r="17" spans="1:8" ht="16" x14ac:dyDescent="0.2">
      <c r="A17" s="756">
        <v>23</v>
      </c>
      <c r="B17" s="757">
        <f>+'Statens skalatrin'!D73</f>
        <v>23366.92</v>
      </c>
      <c r="C17" s="757">
        <f>+'Statens skalatrin'!F73</f>
        <v>23856.5</v>
      </c>
      <c r="D17" s="757">
        <f>+'Statens skalatrin'!H73</f>
        <v>24195.67</v>
      </c>
      <c r="E17" s="757">
        <f>+'Statens skalatrin'!J73</f>
        <v>24685.42</v>
      </c>
      <c r="F17" s="757">
        <f>+'Statens skalatrin'!L73</f>
        <v>25024.33</v>
      </c>
      <c r="G17" s="758">
        <f>+'Statens skalatrin'!O73</f>
        <v>22327.19</v>
      </c>
      <c r="H17" s="758">
        <f t="shared" si="0"/>
        <v>3282.0969299999997</v>
      </c>
    </row>
    <row r="18" spans="1:8" ht="16" x14ac:dyDescent="0.2">
      <c r="A18" s="756">
        <v>24</v>
      </c>
      <c r="B18" s="757">
        <f>+'Statens skalatrin'!D76</f>
        <v>23744.5</v>
      </c>
      <c r="C18" s="757">
        <f>+'Statens skalatrin'!F76</f>
        <v>24220.33</v>
      </c>
      <c r="D18" s="757">
        <f>+'Statens skalatrin'!H76</f>
        <v>24549.75</v>
      </c>
      <c r="E18" s="757">
        <f>+'Statens skalatrin'!J76</f>
        <v>25025.67</v>
      </c>
      <c r="F18" s="757">
        <f>+'Statens skalatrin'!L76</f>
        <v>25355.17</v>
      </c>
      <c r="G18" s="758">
        <f>+'Statens skalatrin'!O76</f>
        <v>22734.15</v>
      </c>
      <c r="H18" s="758">
        <f t="shared" si="0"/>
        <v>3341.9200500000002</v>
      </c>
    </row>
    <row r="19" spans="1:8" ht="16" x14ac:dyDescent="0.2">
      <c r="A19" s="756">
        <v>25</v>
      </c>
      <c r="B19" s="757">
        <f>+'Statens skalatrin'!D79</f>
        <v>24130.33</v>
      </c>
      <c r="C19" s="757">
        <f>+'Statens skalatrin'!F79</f>
        <v>24591.42</v>
      </c>
      <c r="D19" s="757">
        <f>+'Statens skalatrin'!H79</f>
        <v>24910.58</v>
      </c>
      <c r="E19" s="757">
        <f>+'Statens skalatrin'!J79</f>
        <v>25371.67</v>
      </c>
      <c r="F19" s="757">
        <f>+'Statens skalatrin'!L79</f>
        <v>25690.75</v>
      </c>
      <c r="G19" s="758">
        <f>+'Statens skalatrin'!O79</f>
        <v>23151.66</v>
      </c>
      <c r="H19" s="758">
        <f t="shared" si="0"/>
        <v>3403.2940199999998</v>
      </c>
    </row>
    <row r="20" spans="1:8" ht="16" x14ac:dyDescent="0.2">
      <c r="A20" s="756">
        <v>26</v>
      </c>
      <c r="B20" s="757">
        <f>+'Statens skalatrin'!D82</f>
        <v>24525.25</v>
      </c>
      <c r="C20" s="757">
        <f>+'Statens skalatrin'!F82</f>
        <v>24970.25</v>
      </c>
      <c r="D20" s="757">
        <f>+'Statens skalatrin'!H82</f>
        <v>25278.42</v>
      </c>
      <c r="E20" s="757">
        <f>+'Statens skalatrin'!J82</f>
        <v>25723.5</v>
      </c>
      <c r="F20" s="757">
        <f>+'Statens skalatrin'!L82</f>
        <v>26031.5</v>
      </c>
      <c r="G20" s="758">
        <f>+'Statens skalatrin'!O82</f>
        <v>23580.15</v>
      </c>
      <c r="H20" s="758">
        <f t="shared" si="0"/>
        <v>3466.2820499999998</v>
      </c>
    </row>
    <row r="21" spans="1:8" ht="16" x14ac:dyDescent="0.2">
      <c r="A21" s="756">
        <v>27</v>
      </c>
      <c r="B21" s="757">
        <f>+'Statens skalatrin'!D85</f>
        <v>24928.58</v>
      </c>
      <c r="C21" s="757">
        <f>+'Statens skalatrin'!F85</f>
        <v>25356.5</v>
      </c>
      <c r="D21" s="757">
        <f>+'Statens skalatrin'!H85</f>
        <v>25653</v>
      </c>
      <c r="E21" s="757">
        <f>+'Statens skalatrin'!J85</f>
        <v>26080.92</v>
      </c>
      <c r="F21" s="757">
        <f>+'Statens skalatrin'!L85</f>
        <v>26377.33</v>
      </c>
      <c r="G21" s="758">
        <f>+'Statens skalatrin'!O85</f>
        <v>24019.72</v>
      </c>
      <c r="H21" s="758">
        <f t="shared" si="0"/>
        <v>3530.8988399999998</v>
      </c>
    </row>
    <row r="22" spans="1:8" ht="16" x14ac:dyDescent="0.2">
      <c r="A22" s="756">
        <v>28</v>
      </c>
      <c r="B22" s="757">
        <f>+'Statens skalatrin'!D88</f>
        <v>25341.08</v>
      </c>
      <c r="C22" s="757">
        <f>+'Statens skalatrin'!F88</f>
        <v>25750.92</v>
      </c>
      <c r="D22" s="757">
        <f>+'Statens skalatrin'!H88</f>
        <v>26034.67</v>
      </c>
      <c r="E22" s="757">
        <f>+'Statens skalatrin'!J88</f>
        <v>26444.42</v>
      </c>
      <c r="F22" s="757">
        <f>+'Statens skalatrin'!L88</f>
        <v>26728.25</v>
      </c>
      <c r="G22" s="758">
        <f>+'Statens skalatrin'!O88</f>
        <v>24470.98</v>
      </c>
      <c r="H22" s="758">
        <f t="shared" si="0"/>
        <v>3597.2340599999998</v>
      </c>
    </row>
    <row r="23" spans="1:8" ht="16" x14ac:dyDescent="0.2">
      <c r="A23" s="756">
        <v>29</v>
      </c>
      <c r="B23" s="757">
        <f>+'Statens skalatrin'!D91</f>
        <v>25762.75</v>
      </c>
      <c r="C23" s="757">
        <f>+'Statens skalatrin'!F91</f>
        <v>26153.25</v>
      </c>
      <c r="D23" s="757">
        <f>+'Statens skalatrin'!H91</f>
        <v>26423.58</v>
      </c>
      <c r="E23" s="757">
        <f>+'Statens skalatrin'!J91</f>
        <v>26814</v>
      </c>
      <c r="F23" s="757">
        <f>+'Statens skalatrin'!L91</f>
        <v>27084.25</v>
      </c>
      <c r="G23" s="758">
        <f>+'Statens skalatrin'!O91</f>
        <v>24933.86</v>
      </c>
      <c r="H23" s="758">
        <f t="shared" si="0"/>
        <v>3665.2774199999999</v>
      </c>
    </row>
    <row r="24" spans="1:8" ht="16" x14ac:dyDescent="0.2">
      <c r="A24" s="756">
        <v>30</v>
      </c>
      <c r="B24" s="757">
        <f>+'Statens skalatrin'!D94</f>
        <v>26194.17</v>
      </c>
      <c r="C24" s="757">
        <f>+'Statens skalatrin'!F94</f>
        <v>26563.919999999998</v>
      </c>
      <c r="D24" s="757">
        <f>+'Statens skalatrin'!H94</f>
        <v>26819.83</v>
      </c>
      <c r="E24" s="757">
        <f>+'Statens skalatrin'!J94</f>
        <v>27189.42</v>
      </c>
      <c r="F24" s="757">
        <f>+'Statens skalatrin'!L94</f>
        <v>27445.42</v>
      </c>
      <c r="G24" s="758">
        <f>+'Statens skalatrin'!O94</f>
        <v>25408.959999999999</v>
      </c>
      <c r="H24" s="758">
        <f t="shared" si="0"/>
        <v>3735.1171199999999</v>
      </c>
    </row>
    <row r="25" spans="1:8" ht="16" x14ac:dyDescent="0.2">
      <c r="A25" s="756">
        <v>31</v>
      </c>
      <c r="B25" s="757">
        <f>+'Statens skalatrin'!D97</f>
        <v>26634.67</v>
      </c>
      <c r="C25" s="757">
        <f>+'Statens skalatrin'!F97</f>
        <v>26982.42</v>
      </c>
      <c r="D25" s="757">
        <f>+'Statens skalatrin'!H97</f>
        <v>27223.25</v>
      </c>
      <c r="E25" s="757">
        <f>+'Statens skalatrin'!J97</f>
        <v>27571</v>
      </c>
      <c r="F25" s="757">
        <f>+'Statens skalatrin'!L97</f>
        <v>27811.75</v>
      </c>
      <c r="G25" s="758">
        <f>+'Statens skalatrin'!O97</f>
        <v>25896.37</v>
      </c>
      <c r="H25" s="758">
        <f t="shared" si="0"/>
        <v>3806.7663899999998</v>
      </c>
    </row>
    <row r="26" spans="1:8" ht="16" x14ac:dyDescent="0.2">
      <c r="A26" s="756">
        <v>32</v>
      </c>
      <c r="B26" s="757">
        <f>+'Statens skalatrin'!D100</f>
        <v>27085.42</v>
      </c>
      <c r="C26" s="757">
        <f>+'Statens skalatrin'!F100</f>
        <v>27409.75</v>
      </c>
      <c r="D26" s="757">
        <f>+'Statens skalatrin'!H100</f>
        <v>27634.25</v>
      </c>
      <c r="E26" s="757">
        <f>+'Statens skalatrin'!J100</f>
        <v>27958.75</v>
      </c>
      <c r="F26" s="757">
        <f>+'Statens skalatrin'!L100</f>
        <v>28183.17</v>
      </c>
      <c r="G26" s="758">
        <f>+'Statens skalatrin'!O100</f>
        <v>26396.68</v>
      </c>
      <c r="H26" s="758">
        <f t="shared" si="0"/>
        <v>3880.31196</v>
      </c>
    </row>
    <row r="27" spans="1:8" ht="16" x14ac:dyDescent="0.2">
      <c r="A27" s="756">
        <v>33</v>
      </c>
      <c r="B27" s="757">
        <f>+'Statens skalatrin'!D103</f>
        <v>27545.75</v>
      </c>
      <c r="C27" s="757">
        <f>+'Statens skalatrin'!F103</f>
        <v>27845.17</v>
      </c>
      <c r="D27" s="757">
        <f>+'Statens skalatrin'!H103</f>
        <v>28052.67</v>
      </c>
      <c r="E27" s="757">
        <f>+'Statens skalatrin'!J103</f>
        <v>28352.25</v>
      </c>
      <c r="F27" s="757">
        <f>+'Statens skalatrin'!L103</f>
        <v>28559.67</v>
      </c>
      <c r="G27" s="758">
        <f>+'Statens skalatrin'!O103</f>
        <v>26909.82</v>
      </c>
      <c r="H27" s="758">
        <f t="shared" si="0"/>
        <v>3955.7435399999999</v>
      </c>
    </row>
    <row r="28" spans="1:8" ht="16" x14ac:dyDescent="0.2">
      <c r="A28" s="756">
        <v>34</v>
      </c>
      <c r="B28" s="757">
        <f>+'Statens skalatrin'!D106</f>
        <v>28016.58</v>
      </c>
      <c r="C28" s="757">
        <f>+'Statens skalatrin'!F106</f>
        <v>28289.83</v>
      </c>
      <c r="D28" s="757">
        <f>+'Statens skalatrin'!H106</f>
        <v>28479</v>
      </c>
      <c r="E28" s="757">
        <f>+'Statens skalatrin'!J106</f>
        <v>28752</v>
      </c>
      <c r="F28" s="757">
        <f>+'Statens skalatrin'!L106</f>
        <v>28941.17</v>
      </c>
      <c r="G28" s="758">
        <f>+'Statens skalatrin'!O106</f>
        <v>27436.53</v>
      </c>
      <c r="H28" s="758">
        <f t="shared" si="0"/>
        <v>4033.1699099999996</v>
      </c>
    </row>
    <row r="29" spans="1:8" ht="16" x14ac:dyDescent="0.2">
      <c r="A29" s="756">
        <v>35</v>
      </c>
      <c r="B29" s="757">
        <f>+'Statens skalatrin'!D109</f>
        <v>28497.83</v>
      </c>
      <c r="C29" s="757">
        <f>+'Statens skalatrin'!F109</f>
        <v>28743.25</v>
      </c>
      <c r="D29" s="757">
        <f>+'Statens skalatrin'!H109</f>
        <v>28913</v>
      </c>
      <c r="E29" s="757">
        <f>+'Statens skalatrin'!J109</f>
        <v>29158.42</v>
      </c>
      <c r="F29" s="757">
        <f>+'Statens skalatrin'!L109</f>
        <v>29328.080000000002</v>
      </c>
      <c r="G29" s="758">
        <f>+'Statens skalatrin'!O109</f>
        <v>27977.07</v>
      </c>
      <c r="H29" s="758">
        <f t="shared" si="0"/>
        <v>4112.6292899999999</v>
      </c>
    </row>
    <row r="30" spans="1:8" ht="16" x14ac:dyDescent="0.2">
      <c r="A30" s="756">
        <v>36</v>
      </c>
      <c r="B30" s="757">
        <f>'Statens skalatrin'!D112</f>
        <v>28989.67</v>
      </c>
      <c r="C30" s="757">
        <f>+'Statens skalatrin'!F112</f>
        <v>29205.42</v>
      </c>
      <c r="D30" s="757">
        <f>+'Statens skalatrin'!H112</f>
        <v>29354.75</v>
      </c>
      <c r="E30" s="757">
        <f>+'Statens skalatrin'!J112</f>
        <v>29570.58</v>
      </c>
      <c r="F30" s="757">
        <f>+'Statens skalatrin'!L112</f>
        <v>29719.919999999998</v>
      </c>
      <c r="G30" s="758">
        <f>+'Statens skalatrin'!O112</f>
        <v>28531.54</v>
      </c>
      <c r="H30" s="758">
        <f t="shared" si="0"/>
        <v>4194.1363799999999</v>
      </c>
    </row>
    <row r="31" spans="1:8" ht="16" x14ac:dyDescent="0.2">
      <c r="A31" s="756">
        <v>37</v>
      </c>
      <c r="B31" s="757">
        <f>+'Statens skalatrin'!D115</f>
        <v>29492.33</v>
      </c>
      <c r="C31" s="757">
        <f>+'Statens skalatrin'!F115</f>
        <v>29676.83</v>
      </c>
      <c r="D31" s="757">
        <f>+'Statens skalatrin'!H115</f>
        <v>29804.5</v>
      </c>
      <c r="E31" s="757">
        <f>+'Statens skalatrin'!J115</f>
        <v>29989</v>
      </c>
      <c r="F31" s="757">
        <f>+'Statens skalatrin'!L115</f>
        <v>30116.83</v>
      </c>
      <c r="G31" s="758">
        <f>+'Statens skalatrin'!O115</f>
        <v>29100.49</v>
      </c>
      <c r="H31" s="758">
        <f t="shared" si="0"/>
        <v>4277.7720300000001</v>
      </c>
    </row>
    <row r="32" spans="1:8" ht="17" thickBot="1" x14ac:dyDescent="0.25">
      <c r="A32" s="888">
        <v>38</v>
      </c>
      <c r="B32" s="889">
        <f>+'Statens skalatrin'!D118</f>
        <v>30023.17</v>
      </c>
      <c r="C32" s="889">
        <f>+'Statens skalatrin'!F118</f>
        <v>30177.5</v>
      </c>
      <c r="D32" s="889">
        <f>+'Statens skalatrin'!H118</f>
        <v>30284.42</v>
      </c>
      <c r="E32" s="889">
        <f>+'Statens skalatrin'!J118</f>
        <v>30438.83</v>
      </c>
      <c r="F32" s="889">
        <f>+'Statens skalatrin'!L118</f>
        <v>30545.83</v>
      </c>
      <c r="G32" s="890">
        <f>+'Statens skalatrin'!O118</f>
        <v>29695.19</v>
      </c>
      <c r="H32" s="890">
        <f t="shared" si="0"/>
        <v>4365.1929299999993</v>
      </c>
    </row>
    <row r="33" spans="1:8" s="641" customFormat="1" ht="19" thickBot="1" x14ac:dyDescent="0.2">
      <c r="A33" s="1624" t="s">
        <v>490</v>
      </c>
      <c r="B33" s="1625"/>
      <c r="C33" s="1625"/>
      <c r="D33" s="887" t="s">
        <v>489</v>
      </c>
      <c r="E33" s="885"/>
      <c r="F33" s="886"/>
      <c r="G33" s="1631" t="s">
        <v>487</v>
      </c>
      <c r="H33" s="1632"/>
    </row>
    <row r="34" spans="1:8" ht="26" customHeight="1" thickBot="1" x14ac:dyDescent="0.2">
      <c r="A34" s="1619" t="s">
        <v>360</v>
      </c>
      <c r="B34" s="1620"/>
      <c r="C34" s="1620"/>
      <c r="D34" s="1620"/>
      <c r="E34" s="1620"/>
      <c r="F34" s="1620"/>
      <c r="G34" s="1620"/>
      <c r="H34" s="1621"/>
    </row>
    <row r="35" spans="1:8" ht="26" customHeight="1" thickBot="1" x14ac:dyDescent="0.2">
      <c r="A35" s="643" t="s">
        <v>58</v>
      </c>
      <c r="B35" s="643" t="s">
        <v>77</v>
      </c>
      <c r="C35" s="643" t="s">
        <v>78</v>
      </c>
      <c r="D35" s="643" t="s">
        <v>79</v>
      </c>
      <c r="E35" s="643" t="s">
        <v>80</v>
      </c>
      <c r="F35" s="643" t="s">
        <v>81</v>
      </c>
      <c r="G35" s="643" t="s">
        <v>251</v>
      </c>
      <c r="H35" s="954">
        <v>0.16200000000000001</v>
      </c>
    </row>
    <row r="36" spans="1:8" ht="16.5" customHeight="1" x14ac:dyDescent="0.2">
      <c r="A36" s="854">
        <v>40</v>
      </c>
      <c r="B36" s="759">
        <f>'Statens skalatrin'!D124</f>
        <v>31106.92</v>
      </c>
      <c r="C36" s="759">
        <f>+'Statens skalatrin'!F124</f>
        <v>31188.25</v>
      </c>
      <c r="D36" s="759">
        <f>+'Statens skalatrin'!H124</f>
        <v>31244.58</v>
      </c>
      <c r="E36" s="759">
        <f>+'Statens skalatrin'!J124</f>
        <v>31325.83</v>
      </c>
      <c r="F36" s="759">
        <f>+'Statens skalatrin'!L124</f>
        <v>31382.17</v>
      </c>
      <c r="G36" s="759">
        <f>+'Statens skalatrin'!O124</f>
        <v>30934.11</v>
      </c>
      <c r="H36" s="760">
        <f>G36*H35</f>
        <v>5011.32582</v>
      </c>
    </row>
    <row r="37" spans="1:8" ht="16" x14ac:dyDescent="0.2">
      <c r="A37" s="756">
        <v>42</v>
      </c>
      <c r="B37" s="757">
        <f>'Statens skalatrin'!D130</f>
        <v>32238.5</v>
      </c>
      <c r="C37" s="757">
        <f>+'Statens skalatrin'!F130</f>
        <v>32238.5</v>
      </c>
      <c r="D37" s="757">
        <f>+'Statens skalatrin'!H130</f>
        <v>32238.5</v>
      </c>
      <c r="E37" s="757">
        <f>+'Statens skalatrin'!J130</f>
        <v>32238.5</v>
      </c>
      <c r="F37" s="757">
        <f>+'Statens skalatrin'!L130</f>
        <v>32238.5</v>
      </c>
      <c r="G37" s="757">
        <f>+'Statens skalatrin'!O130</f>
        <v>32238.39</v>
      </c>
      <c r="H37" s="760">
        <f>G37*H35</f>
        <v>5222.6191799999997</v>
      </c>
    </row>
    <row r="38" spans="1:8" ht="16" x14ac:dyDescent="0.2">
      <c r="A38" s="756">
        <v>44</v>
      </c>
      <c r="B38" s="757">
        <f>'Statens skalatrin'!D136</f>
        <v>33689.42</v>
      </c>
      <c r="C38" s="757">
        <f>+'Statens skalatrin'!F136</f>
        <v>33689.42</v>
      </c>
      <c r="D38" s="757">
        <f>+'Statens skalatrin'!H136</f>
        <v>33689.42</v>
      </c>
      <c r="E38" s="757">
        <f>+'Statens skalatrin'!J136</f>
        <v>33689.42</v>
      </c>
      <c r="F38" s="757">
        <f>+'Statens skalatrin'!L136</f>
        <v>33689.42</v>
      </c>
      <c r="G38" s="757">
        <f>+'Statens skalatrin'!O136</f>
        <v>33689.43</v>
      </c>
      <c r="H38" s="760">
        <f>G38*H35</f>
        <v>5457.6876600000005</v>
      </c>
    </row>
    <row r="39" spans="1:8" ht="17" thickBot="1" x14ac:dyDescent="0.25">
      <c r="A39" s="761">
        <v>48</v>
      </c>
      <c r="B39" s="952">
        <f>'Statens skalatrin'!D148</f>
        <v>39313.25</v>
      </c>
      <c r="C39" s="952">
        <f>+'Statens skalatrin'!F148</f>
        <v>39313.25</v>
      </c>
      <c r="D39" s="952">
        <f>+'Statens skalatrin'!H148</f>
        <v>39313.25</v>
      </c>
      <c r="E39" s="952">
        <f>+'Statens skalatrin'!J148</f>
        <v>39313.25</v>
      </c>
      <c r="F39" s="952">
        <f>+'Statens skalatrin'!L148</f>
        <v>39313.25</v>
      </c>
      <c r="G39" s="952">
        <f>+'Statens skalatrin'!O148</f>
        <v>39313.15</v>
      </c>
      <c r="H39" s="953">
        <f>G39*H35</f>
        <v>6368.7303000000002</v>
      </c>
    </row>
    <row r="40" spans="1:8" x14ac:dyDescent="0.15">
      <c r="A40" s="872"/>
      <c r="B40" s="872"/>
      <c r="C40" s="872"/>
      <c r="D40" s="872"/>
      <c r="E40" s="872"/>
      <c r="F40" s="872"/>
      <c r="G40" s="872"/>
      <c r="H40" s="872"/>
    </row>
    <row r="41" spans="1:8" s="641" customFormat="1" ht="15" thickBot="1" x14ac:dyDescent="0.2"/>
    <row r="42" spans="1:8" s="641" customFormat="1" ht="16" x14ac:dyDescent="0.15">
      <c r="A42" s="1562" t="s">
        <v>362</v>
      </c>
      <c r="B42" s="1573"/>
      <c r="C42" s="1573"/>
      <c r="D42" s="1573"/>
      <c r="E42" s="1573"/>
      <c r="F42" s="1573"/>
      <c r="G42" s="1573"/>
      <c r="H42" s="1563"/>
    </row>
    <row r="43" spans="1:8" ht="26" customHeight="1" thickBot="1" x14ac:dyDescent="0.2">
      <c r="A43" s="1167" t="s">
        <v>361</v>
      </c>
      <c r="B43" s="1168"/>
      <c r="C43" s="1168"/>
      <c r="D43" s="1168"/>
      <c r="E43" s="1168"/>
      <c r="F43" s="1168"/>
      <c r="G43" s="1168"/>
      <c r="H43" s="1169"/>
    </row>
    <row r="44" spans="1:8" ht="26" customHeight="1" x14ac:dyDescent="0.2">
      <c r="A44" s="1564" t="s">
        <v>491</v>
      </c>
      <c r="B44" s="1565"/>
      <c r="C44" s="1566"/>
      <c r="D44" s="1636" t="s">
        <v>138</v>
      </c>
      <c r="E44" s="1637"/>
      <c r="F44" s="1636" t="s">
        <v>398</v>
      </c>
      <c r="G44" s="1637"/>
      <c r="H44" s="899" t="s">
        <v>303</v>
      </c>
    </row>
    <row r="45" spans="1:8" ht="15.75" customHeight="1" thickBot="1" x14ac:dyDescent="0.25">
      <c r="A45" s="1567"/>
      <c r="B45" s="1568"/>
      <c r="C45" s="1569"/>
      <c r="D45" s="1638">
        <v>40999</v>
      </c>
      <c r="E45" s="1639"/>
      <c r="F45" s="1638" t="str">
        <f>'Løntabel gældende fra'!D1</f>
        <v>01/04/2018</v>
      </c>
      <c r="G45" s="1639"/>
      <c r="H45" s="737" t="str">
        <f>'Løntabel gældende fra'!$D$1</f>
        <v>01/04/2018</v>
      </c>
    </row>
    <row r="46" spans="1:8" ht="15" customHeight="1" thickBot="1" x14ac:dyDescent="0.2">
      <c r="A46" s="1570"/>
      <c r="B46" s="1571"/>
      <c r="C46" s="1572"/>
      <c r="D46" s="1643">
        <v>4000</v>
      </c>
      <c r="E46" s="1644"/>
      <c r="F46" s="1645">
        <f>+D46*(1+'Løntabel gældende fra'!$D$7/100)</f>
        <v>4278.732</v>
      </c>
      <c r="G46" s="1646">
        <f>+E46*(1+'Løntabel gældende fra'!$D$7/100)</f>
        <v>0</v>
      </c>
      <c r="H46" s="900">
        <f>F46/12</f>
        <v>356.56099999999998</v>
      </c>
    </row>
    <row r="47" spans="1:8" ht="31.5" customHeight="1" thickBot="1" x14ac:dyDescent="0.2">
      <c r="A47" s="268"/>
      <c r="B47" s="269"/>
      <c r="C47" s="269"/>
      <c r="D47" s="269"/>
      <c r="E47" s="269"/>
      <c r="F47" s="269"/>
    </row>
    <row r="48" spans="1:8" ht="16" x14ac:dyDescent="0.15">
      <c r="A48" s="1562" t="s">
        <v>241</v>
      </c>
      <c r="B48" s="1573"/>
      <c r="C48" s="1573"/>
      <c r="D48" s="1573"/>
      <c r="E48" s="1573"/>
      <c r="F48" s="1573"/>
      <c r="G48" s="1573"/>
      <c r="H48" s="1563"/>
    </row>
    <row r="49" spans="1:8" ht="20" customHeight="1" thickBot="1" x14ac:dyDescent="0.2">
      <c r="A49" s="1167" t="s">
        <v>407</v>
      </c>
      <c r="B49" s="1168"/>
      <c r="C49" s="1168"/>
      <c r="D49" s="1168"/>
      <c r="E49" s="1168"/>
      <c r="F49" s="1168"/>
      <c r="G49" s="1168"/>
      <c r="H49" s="1169"/>
    </row>
    <row r="50" spans="1:8" ht="34.5" customHeight="1" x14ac:dyDescent="0.15">
      <c r="A50" s="1574" t="s">
        <v>370</v>
      </c>
      <c r="B50" s="1575"/>
      <c r="C50" s="1575"/>
      <c r="D50" s="1575"/>
      <c r="E50" s="1575"/>
      <c r="F50" s="1576"/>
      <c r="G50" s="875" t="s">
        <v>103</v>
      </c>
      <c r="H50" s="878" t="s">
        <v>303</v>
      </c>
    </row>
    <row r="51" spans="1:8" ht="21" customHeight="1" thickBot="1" x14ac:dyDescent="0.25">
      <c r="A51" s="1577"/>
      <c r="B51" s="1578"/>
      <c r="C51" s="1578"/>
      <c r="D51" s="1578"/>
      <c r="E51" s="1578"/>
      <c r="F51" s="1579"/>
      <c r="G51" s="737">
        <v>40999</v>
      </c>
      <c r="H51" s="762" t="str">
        <f>'Løntabel gældende fra'!$D$1</f>
        <v>01/04/2018</v>
      </c>
    </row>
    <row r="52" spans="1:8" ht="21" customHeight="1" x14ac:dyDescent="0.2">
      <c r="A52" s="1580" t="s">
        <v>368</v>
      </c>
      <c r="B52" s="1581"/>
      <c r="C52" s="1581"/>
      <c r="D52" s="1581"/>
      <c r="E52" s="1581"/>
      <c r="F52" s="1582"/>
      <c r="G52" s="702">
        <v>540</v>
      </c>
      <c r="H52" s="763">
        <f>G52+G52*'Løntabel gældende fra'!$D$7%</f>
        <v>577.62882000000002</v>
      </c>
    </row>
    <row r="53" spans="1:8" ht="20" customHeight="1" thickBot="1" x14ac:dyDescent="0.25">
      <c r="A53" s="1583" t="s">
        <v>369</v>
      </c>
      <c r="B53" s="1584"/>
      <c r="C53" s="1584"/>
      <c r="D53" s="1584"/>
      <c r="E53" s="1584"/>
      <c r="F53" s="1585"/>
      <c r="G53" s="710">
        <v>666.67</v>
      </c>
      <c r="H53" s="764">
        <f>G53+G53*'Løntabel gældende fra'!$D$7%</f>
        <v>713.12556560999997</v>
      </c>
    </row>
    <row r="54" spans="1:8" ht="20" customHeight="1" thickBot="1" x14ac:dyDescent="0.2">
      <c r="A54" s="299"/>
      <c r="B54" s="299"/>
      <c r="C54" s="299"/>
      <c r="D54" s="299"/>
      <c r="E54" s="299"/>
      <c r="F54" s="286"/>
      <c r="G54" s="286"/>
      <c r="H54" s="891"/>
    </row>
    <row r="55" spans="1:8" s="641" customFormat="1" ht="27" customHeight="1" x14ac:dyDescent="0.15">
      <c r="A55" s="1562" t="s">
        <v>354</v>
      </c>
      <c r="B55" s="1573"/>
      <c r="C55" s="1573"/>
      <c r="D55" s="1573"/>
      <c r="E55" s="1573"/>
      <c r="F55" s="1573"/>
      <c r="G55" s="1573"/>
      <c r="H55" s="1563"/>
    </row>
    <row r="56" spans="1:8" ht="20" customHeight="1" thickBot="1" x14ac:dyDescent="0.2">
      <c r="A56" s="1167" t="s">
        <v>351</v>
      </c>
      <c r="B56" s="1168"/>
      <c r="C56" s="1168"/>
      <c r="D56" s="1168"/>
      <c r="E56" s="1168"/>
      <c r="F56" s="1168"/>
      <c r="G56" s="1168"/>
      <c r="H56" s="1169"/>
    </row>
    <row r="57" spans="1:8" ht="20" customHeight="1" x14ac:dyDescent="0.2">
      <c r="A57" s="896"/>
      <c r="B57" s="897"/>
      <c r="C57" s="897"/>
      <c r="D57" s="897"/>
      <c r="E57" s="897"/>
      <c r="F57" s="897"/>
      <c r="G57" s="899" t="s">
        <v>100</v>
      </c>
      <c r="H57" s="898" t="s">
        <v>105</v>
      </c>
    </row>
    <row r="58" spans="1:8" ht="15" customHeight="1" thickBot="1" x14ac:dyDescent="0.25">
      <c r="A58" s="894"/>
      <c r="B58" s="895"/>
      <c r="C58" s="895"/>
      <c r="D58" s="895"/>
      <c r="E58" s="895"/>
      <c r="F58" s="895"/>
      <c r="G58" s="737">
        <v>40999</v>
      </c>
      <c r="H58" s="762" t="str">
        <f>'Løntabel gældende fra'!$D$1</f>
        <v>01/04/2018</v>
      </c>
    </row>
    <row r="59" spans="1:8" ht="16.5" customHeight="1" x14ac:dyDescent="0.15">
      <c r="A59" s="1567" t="s">
        <v>510</v>
      </c>
      <c r="B59" s="1568"/>
      <c r="C59" s="1568"/>
      <c r="D59" s="1568"/>
      <c r="E59" s="1568"/>
      <c r="F59" s="1647" t="s">
        <v>178</v>
      </c>
      <c r="G59" s="1954">
        <v>39.92</v>
      </c>
      <c r="H59" s="1622">
        <f>G59+G59*'Løntabel gældende fra'!$D$7%</f>
        <v>42.701745360000004</v>
      </c>
    </row>
    <row r="60" spans="1:8" ht="16" customHeight="1" x14ac:dyDescent="0.15">
      <c r="A60" s="1586"/>
      <c r="B60" s="1587"/>
      <c r="C60" s="1587"/>
      <c r="D60" s="1587"/>
      <c r="E60" s="1587"/>
      <c r="F60" s="1648"/>
      <c r="G60" s="1955"/>
      <c r="H60" s="1623"/>
    </row>
    <row r="61" spans="1:8" ht="16" customHeight="1" x14ac:dyDescent="0.2">
      <c r="A61" s="1588" t="s">
        <v>257</v>
      </c>
      <c r="B61" s="1589"/>
      <c r="C61" s="1589"/>
      <c r="D61" s="1589"/>
      <c r="E61" s="1589"/>
      <c r="F61" s="883" t="s">
        <v>178</v>
      </c>
      <c r="G61" s="727">
        <v>39.92</v>
      </c>
      <c r="H61" s="765">
        <f>G61+G61*'Løntabel gældende fra'!$D$7%</f>
        <v>42.701745360000004</v>
      </c>
    </row>
    <row r="62" spans="1:8" s="267" customFormat="1" ht="15.75" customHeight="1" x14ac:dyDescent="0.2">
      <c r="A62" s="1588" t="s">
        <v>236</v>
      </c>
      <c r="B62" s="1589"/>
      <c r="C62" s="1589"/>
      <c r="D62" s="1589"/>
      <c r="E62" s="1589"/>
      <c r="F62" s="883" t="s">
        <v>178</v>
      </c>
      <c r="G62" s="727">
        <v>22.32</v>
      </c>
      <c r="H62" s="765">
        <f>G62+G62*'Løntabel gældende fra'!$D$7%</f>
        <v>23.875324559999999</v>
      </c>
    </row>
    <row r="63" spans="1:8" s="267" customFormat="1" ht="16" x14ac:dyDescent="0.2">
      <c r="A63" s="1590" t="s">
        <v>177</v>
      </c>
      <c r="B63" s="1591"/>
      <c r="C63" s="1591"/>
      <c r="D63" s="1591"/>
      <c r="E63" s="1591"/>
      <c r="F63" s="892" t="s">
        <v>178</v>
      </c>
      <c r="G63" s="727">
        <v>39.92</v>
      </c>
      <c r="H63" s="765">
        <f>G63+G63*'Løntabel gældende fra'!$D$7%</f>
        <v>42.701745360000004</v>
      </c>
    </row>
    <row r="64" spans="1:8" ht="16" x14ac:dyDescent="0.2">
      <c r="A64" s="1590" t="s">
        <v>492</v>
      </c>
      <c r="B64" s="1591"/>
      <c r="C64" s="1591"/>
      <c r="D64" s="1591"/>
      <c r="E64" s="1591"/>
      <c r="F64" s="892" t="s">
        <v>179</v>
      </c>
      <c r="G64" s="727">
        <v>39.92</v>
      </c>
      <c r="H64" s="765">
        <f>G64+G64*'Løntabel gældende fra'!$D$7%</f>
        <v>42.701745360000004</v>
      </c>
    </row>
    <row r="65" spans="1:8" ht="16" x14ac:dyDescent="0.2">
      <c r="A65" s="1590" t="s">
        <v>493</v>
      </c>
      <c r="B65" s="1591"/>
      <c r="C65" s="1591"/>
      <c r="D65" s="1591"/>
      <c r="E65" s="1591"/>
      <c r="F65" s="892" t="s">
        <v>179</v>
      </c>
      <c r="G65" s="727">
        <v>91.84</v>
      </c>
      <c r="H65" s="765">
        <f>G65+G65*'Løntabel gældende fra'!$D$7%</f>
        <v>98.239686720000009</v>
      </c>
    </row>
    <row r="66" spans="1:8" ht="17" thickBot="1" x14ac:dyDescent="0.25">
      <c r="A66" s="1592" t="s">
        <v>494</v>
      </c>
      <c r="B66" s="1593"/>
      <c r="C66" s="1593"/>
      <c r="D66" s="1593"/>
      <c r="E66" s="1593"/>
      <c r="F66" s="893" t="s">
        <v>178</v>
      </c>
      <c r="G66" s="710">
        <v>27.81</v>
      </c>
      <c r="H66" s="764">
        <f>G66+G66*'Løntabel gældende fra'!$D$7%</f>
        <v>29.747884229999997</v>
      </c>
    </row>
    <row r="67" spans="1:8" ht="15" thickBot="1" x14ac:dyDescent="0.2">
      <c r="A67" s="299"/>
      <c r="B67" s="299"/>
      <c r="C67" s="299"/>
      <c r="D67" s="299"/>
      <c r="E67" s="299"/>
      <c r="F67" s="286"/>
      <c r="G67" s="286"/>
    </row>
    <row r="68" spans="1:8" s="641" customFormat="1" ht="27" customHeight="1" thickBot="1" x14ac:dyDescent="0.2">
      <c r="A68" s="1640" t="s">
        <v>167</v>
      </c>
      <c r="B68" s="1641"/>
      <c r="C68" s="1641"/>
      <c r="D68" s="1641"/>
      <c r="E68" s="1641"/>
      <c r="F68" s="1641"/>
      <c r="G68" s="1642"/>
      <c r="H68" s="265"/>
    </row>
    <row r="69" spans="1:8" ht="16" x14ac:dyDescent="0.15">
      <c r="A69" s="1603" t="s">
        <v>175</v>
      </c>
      <c r="B69" s="1604"/>
      <c r="C69" s="1605"/>
      <c r="D69" s="1573" t="s">
        <v>399</v>
      </c>
      <c r="E69" s="1573"/>
      <c r="F69" s="1562" t="s">
        <v>400</v>
      </c>
      <c r="G69" s="1563"/>
    </row>
    <row r="70" spans="1:8" ht="13" customHeight="1" thickBot="1" x14ac:dyDescent="0.2">
      <c r="A70" s="1606"/>
      <c r="B70" s="1607"/>
      <c r="C70" s="1608"/>
      <c r="D70" s="1601">
        <v>40999</v>
      </c>
      <c r="E70" s="1602"/>
      <c r="F70" s="1596" t="str">
        <f>'Løntabel gældende fra'!$D$1</f>
        <v>01/04/2018</v>
      </c>
      <c r="G70" s="1597"/>
    </row>
    <row r="71" spans="1:8" ht="15" customHeight="1" x14ac:dyDescent="0.2">
      <c r="A71" s="1615" t="s">
        <v>168</v>
      </c>
      <c r="B71" s="1616"/>
      <c r="C71" s="1617"/>
      <c r="D71" s="1612">
        <v>137</v>
      </c>
      <c r="E71" s="1600"/>
      <c r="F71" s="1599">
        <f>+D71*(1+'Løntabel gældende fra'!$D$7/100)</f>
        <v>146.546571</v>
      </c>
      <c r="G71" s="1600"/>
    </row>
    <row r="72" spans="1:8" ht="17" thickBot="1" x14ac:dyDescent="0.25">
      <c r="A72" s="1609" t="s">
        <v>169</v>
      </c>
      <c r="B72" s="1610"/>
      <c r="C72" s="1611"/>
      <c r="D72" s="1613">
        <v>183</v>
      </c>
      <c r="E72" s="1614"/>
      <c r="F72" s="1594">
        <f>+D72*(1+'Løntabel gældende fra'!$D$7/100)</f>
        <v>195.75198899999998</v>
      </c>
      <c r="G72" s="1595"/>
    </row>
    <row r="73" spans="1:8" ht="15" thickBot="1" x14ac:dyDescent="0.2">
      <c r="A73" s="43"/>
      <c r="B73" s="43"/>
      <c r="C73" s="43"/>
      <c r="D73" s="256"/>
      <c r="E73" s="256"/>
      <c r="F73" s="256"/>
      <c r="G73" s="256"/>
    </row>
    <row r="74" spans="1:8" ht="17" thickBot="1" x14ac:dyDescent="0.25">
      <c r="A74" s="1598" t="str">
        <f>"Unge under 18 år, pr. arbejdstime (60 minutter) pr. "&amp;'Løntabel gældende fra'!D1&amp;""</f>
        <v>Unge under 18 år, pr. arbejdstime (60 minutter) pr. 01/04/2018</v>
      </c>
      <c r="B74" s="1033"/>
      <c r="C74" s="1033"/>
      <c r="D74" s="1033"/>
      <c r="E74" s="1033"/>
      <c r="F74" s="1034"/>
    </row>
    <row r="75" spans="1:8" ht="19" customHeight="1" thickBot="1" x14ac:dyDescent="0.2">
      <c r="A75" s="766" t="s">
        <v>170</v>
      </c>
      <c r="B75" s="767" t="s">
        <v>77</v>
      </c>
      <c r="C75" s="767" t="s">
        <v>78</v>
      </c>
      <c r="D75" s="767" t="s">
        <v>79</v>
      </c>
      <c r="E75" s="767" t="s">
        <v>80</v>
      </c>
      <c r="F75" s="768" t="s">
        <v>81</v>
      </c>
    </row>
    <row r="76" spans="1:8" ht="16" x14ac:dyDescent="0.2">
      <c r="A76" s="854" t="s">
        <v>171</v>
      </c>
      <c r="B76" s="769">
        <f>0.66*B8/160.33</f>
        <v>83.521223726065003</v>
      </c>
      <c r="C76" s="770">
        <f>0.66*C8/160.33</f>
        <v>85.260449073785324</v>
      </c>
      <c r="D76" s="770">
        <f>0.66*D8/160.33</f>
        <v>86.464528160668621</v>
      </c>
      <c r="E76" s="770">
        <f>0.66*E8/160.33</f>
        <v>88.203424187613052</v>
      </c>
      <c r="F76" s="771">
        <f>0.66*F8/160.33</f>
        <v>89.407173953720431</v>
      </c>
    </row>
    <row r="77" spans="1:8" ht="17" thickBot="1" x14ac:dyDescent="0.25">
      <c r="A77" s="761" t="s">
        <v>172</v>
      </c>
      <c r="B77" s="772">
        <f>0.74*B8/160.33</f>
        <v>93.645008420133479</v>
      </c>
      <c r="C77" s="773">
        <f>0.74*C8/160.33</f>
        <v>95.595048961516866</v>
      </c>
      <c r="D77" s="773">
        <f>0.74*D8/160.33</f>
        <v>96.945077028628461</v>
      </c>
      <c r="E77" s="773">
        <f>0.74*E8/160.33</f>
        <v>98.894748331566134</v>
      </c>
      <c r="F77" s="774">
        <f>0.74*F8/160.33</f>
        <v>100.24440716023202</v>
      </c>
    </row>
    <row r="78" spans="1:8" ht="15" thickBot="1" x14ac:dyDescent="0.2">
      <c r="A78" s="268"/>
      <c r="B78" s="269"/>
      <c r="C78" s="269"/>
      <c r="D78" s="269"/>
      <c r="E78" s="269"/>
      <c r="F78" s="269"/>
    </row>
    <row r="79" spans="1:8" ht="16.5" customHeight="1" thickBot="1" x14ac:dyDescent="0.2">
      <c r="A79" s="1640" t="s">
        <v>173</v>
      </c>
      <c r="B79" s="1641"/>
      <c r="C79" s="1641"/>
      <c r="D79" s="1641"/>
      <c r="E79" s="1641"/>
      <c r="F79" s="1641"/>
      <c r="G79" s="1642"/>
    </row>
    <row r="80" spans="1:8" ht="18.75" customHeight="1" x14ac:dyDescent="0.15">
      <c r="A80" s="1603" t="s">
        <v>174</v>
      </c>
      <c r="B80" s="1604"/>
      <c r="C80" s="1605"/>
      <c r="D80" s="1562" t="s">
        <v>103</v>
      </c>
      <c r="E80" s="1563"/>
      <c r="F80" s="1562" t="s">
        <v>303</v>
      </c>
      <c r="G80" s="1563"/>
    </row>
    <row r="81" spans="1:8" ht="17" thickBot="1" x14ac:dyDescent="0.2">
      <c r="A81" s="1606"/>
      <c r="B81" s="1607"/>
      <c r="C81" s="1608"/>
      <c r="D81" s="1596">
        <v>40999</v>
      </c>
      <c r="E81" s="1618"/>
      <c r="F81" s="1596" t="str">
        <f>'Løntabel gældende fra'!$D$1</f>
        <v>01/04/2018</v>
      </c>
      <c r="G81" s="1597"/>
    </row>
    <row r="82" spans="1:8" ht="16" x14ac:dyDescent="0.2">
      <c r="A82" s="1615" t="s">
        <v>330</v>
      </c>
      <c r="B82" s="1616"/>
      <c r="C82" s="1617"/>
      <c r="D82" s="1612">
        <v>10189</v>
      </c>
      <c r="E82" s="1600"/>
      <c r="F82" s="1599">
        <f>+D82*(1+'Løntabel gældende fra'!$D$7/100)</f>
        <v>10899.000086999999</v>
      </c>
      <c r="G82" s="1600">
        <f>+E82*(1+'Løntabel gældende fra'!$D$7/100)</f>
        <v>0</v>
      </c>
    </row>
    <row r="83" spans="1:8" ht="17" thickBot="1" x14ac:dyDescent="0.25">
      <c r="A83" s="1609" t="s">
        <v>331</v>
      </c>
      <c r="B83" s="1610"/>
      <c r="C83" s="1611"/>
      <c r="D83" s="1613">
        <v>10519</v>
      </c>
      <c r="E83" s="1614"/>
      <c r="F83" s="1594">
        <f>+D83*(1+'Løntabel gældende fra'!$D$7/100)</f>
        <v>11251.995476999999</v>
      </c>
      <c r="G83" s="1595">
        <f>+E83*(1+'Løntabel gældende fra'!$D$7/100)</f>
        <v>0</v>
      </c>
    </row>
    <row r="84" spans="1:8" ht="16" x14ac:dyDescent="0.2">
      <c r="A84" s="775"/>
      <c r="B84" s="776"/>
      <c r="C84" s="776"/>
      <c r="D84" s="776"/>
      <c r="E84" s="776"/>
      <c r="F84" s="776"/>
      <c r="G84" s="777"/>
      <c r="H84" s="266"/>
    </row>
    <row r="85" spans="1:8" x14ac:dyDescent="0.15">
      <c r="F85" s="266"/>
    </row>
    <row r="86" spans="1:8" x14ac:dyDescent="0.15">
      <c r="A86" s="275"/>
      <c r="B86" s="275"/>
      <c r="C86" s="275"/>
      <c r="H86" s="267"/>
    </row>
    <row r="87" spans="1:8" x14ac:dyDescent="0.15">
      <c r="A87" s="267"/>
      <c r="B87" s="267"/>
      <c r="C87" s="267"/>
      <c r="D87" s="267"/>
      <c r="E87" s="267"/>
      <c r="F87" s="267"/>
      <c r="G87" s="267"/>
    </row>
  </sheetData>
  <sheetProtection sheet="1" objects="1" scenarios="1"/>
  <mergeCells count="60">
    <mergeCell ref="A82:C82"/>
    <mergeCell ref="D82:E82"/>
    <mergeCell ref="F82:G82"/>
    <mergeCell ref="D44:E44"/>
    <mergeCell ref="F44:G44"/>
    <mergeCell ref="D45:E45"/>
    <mergeCell ref="F45:G45"/>
    <mergeCell ref="A79:G79"/>
    <mergeCell ref="D46:E46"/>
    <mergeCell ref="F46:G46"/>
    <mergeCell ref="A55:H55"/>
    <mergeCell ref="A68:G68"/>
    <mergeCell ref="A62:E62"/>
    <mergeCell ref="F59:F60"/>
    <mergeCell ref="A80:C81"/>
    <mergeCell ref="D80:E80"/>
    <mergeCell ref="A1:H1"/>
    <mergeCell ref="A2:H2"/>
    <mergeCell ref="A3:H3"/>
    <mergeCell ref="G33:H33"/>
    <mergeCell ref="A5:F5"/>
    <mergeCell ref="A34:H34"/>
    <mergeCell ref="H59:H60"/>
    <mergeCell ref="A33:C33"/>
    <mergeCell ref="A6:H6"/>
    <mergeCell ref="G5:H5"/>
    <mergeCell ref="A42:H42"/>
    <mergeCell ref="A43:H43"/>
    <mergeCell ref="G59:G60"/>
    <mergeCell ref="F83:G83"/>
    <mergeCell ref="F81:G81"/>
    <mergeCell ref="F80:G80"/>
    <mergeCell ref="A74:F74"/>
    <mergeCell ref="F70:G70"/>
    <mergeCell ref="F71:G71"/>
    <mergeCell ref="F72:G72"/>
    <mergeCell ref="D70:E70"/>
    <mergeCell ref="A69:C70"/>
    <mergeCell ref="A72:C72"/>
    <mergeCell ref="D71:E71"/>
    <mergeCell ref="D72:E72"/>
    <mergeCell ref="A71:C71"/>
    <mergeCell ref="A83:C83"/>
    <mergeCell ref="D83:E83"/>
    <mergeCell ref="D81:E81"/>
    <mergeCell ref="F69:G69"/>
    <mergeCell ref="A44:C46"/>
    <mergeCell ref="A48:H48"/>
    <mergeCell ref="A49:H49"/>
    <mergeCell ref="A50:F51"/>
    <mergeCell ref="A52:F52"/>
    <mergeCell ref="A53:F53"/>
    <mergeCell ref="A56:H56"/>
    <mergeCell ref="A59:E60"/>
    <mergeCell ref="A61:E61"/>
    <mergeCell ref="A63:E63"/>
    <mergeCell ref="A64:E64"/>
    <mergeCell ref="A65:E65"/>
    <mergeCell ref="A66:E66"/>
    <mergeCell ref="D69:E69"/>
  </mergeCells>
  <phoneticPr fontId="6" type="noConversion"/>
  <pageMargins left="0.7" right="0.7" top="0.75" bottom="0.75" header="0.3" footer="0.3"/>
  <pageSetup paperSize="9" scale="63" fitToHeight="2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40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baseColWidth="10" defaultColWidth="8.83203125" defaultRowHeight="13" x14ac:dyDescent="0.15"/>
  <cols>
    <col min="1" max="1" width="9" style="245" customWidth="1"/>
    <col min="2" max="3" width="11.1640625" style="245" customWidth="1"/>
    <col min="4" max="4" width="11.33203125" style="245" customWidth="1"/>
    <col min="5" max="6" width="10.6640625" style="245" customWidth="1"/>
    <col min="7" max="7" width="10.1640625" style="245" customWidth="1"/>
    <col min="8" max="8" width="10.83203125" style="245" customWidth="1"/>
    <col min="9" max="9" width="11.1640625" style="245" customWidth="1"/>
    <col min="10" max="10" width="9.1640625" style="245" customWidth="1"/>
    <col min="11" max="16384" width="8.83203125" style="245"/>
  </cols>
  <sheetData>
    <row r="1" spans="1:16" ht="20" x14ac:dyDescent="0.2">
      <c r="A1" s="1118" t="s">
        <v>20</v>
      </c>
      <c r="B1" s="1119"/>
      <c r="C1" s="1119"/>
      <c r="D1" s="1119"/>
      <c r="E1" s="1119"/>
      <c r="F1" s="1119"/>
      <c r="G1" s="1119"/>
      <c r="H1" s="1119"/>
      <c r="I1" s="1119"/>
      <c r="J1" s="1120"/>
    </row>
    <row r="2" spans="1:16" ht="20" x14ac:dyDescent="0.2">
      <c r="A2" s="1672" t="s">
        <v>203</v>
      </c>
      <c r="B2" s="1673"/>
      <c r="C2" s="1673"/>
      <c r="D2" s="1673"/>
      <c r="E2" s="1673"/>
      <c r="F2" s="1673"/>
      <c r="G2" s="1673"/>
      <c r="H2" s="1673"/>
      <c r="I2" s="1673"/>
      <c r="J2" s="1674"/>
    </row>
    <row r="3" spans="1:16" ht="21" thickBot="1" x14ac:dyDescent="0.25">
      <c r="A3" s="1265" t="s">
        <v>238</v>
      </c>
      <c r="B3" s="1266"/>
      <c r="C3" s="1266"/>
      <c r="D3" s="1266"/>
      <c r="E3" s="1266"/>
      <c r="F3" s="1266"/>
      <c r="G3" s="1266"/>
      <c r="H3" s="1266"/>
      <c r="I3" s="1266"/>
      <c r="J3" s="1267"/>
    </row>
    <row r="4" spans="1:16" ht="23" x14ac:dyDescent="0.25">
      <c r="A4" s="1681"/>
      <c r="B4" s="1682"/>
      <c r="C4" s="1682"/>
      <c r="D4" s="1682"/>
      <c r="E4" s="1682"/>
      <c r="F4" s="1682"/>
      <c r="G4" s="1682"/>
      <c r="H4" s="1682"/>
      <c r="I4" s="1682"/>
      <c r="J4" s="265"/>
    </row>
    <row r="5" spans="1:16" ht="47.25" customHeight="1" x14ac:dyDescent="0.2">
      <c r="A5" s="981" t="s">
        <v>259</v>
      </c>
      <c r="B5" s="982"/>
      <c r="C5" s="982"/>
      <c r="D5" s="982"/>
      <c r="E5" s="982"/>
      <c r="F5" s="982"/>
      <c r="G5" s="982"/>
      <c r="H5" s="982"/>
      <c r="I5" s="982"/>
      <c r="J5" s="265"/>
    </row>
    <row r="6" spans="1:16" ht="8" customHeight="1" x14ac:dyDescent="0.15">
      <c r="A6" s="289"/>
      <c r="B6" s="289"/>
      <c r="C6" s="289"/>
      <c r="D6" s="289"/>
      <c r="E6" s="289"/>
      <c r="F6" s="289"/>
      <c r="G6" s="289"/>
      <c r="H6" s="289"/>
      <c r="I6" s="289"/>
      <c r="J6" s="265"/>
      <c r="L6" s="276"/>
      <c r="M6" s="275"/>
      <c r="N6" s="275"/>
      <c r="O6" s="275"/>
      <c r="P6" s="275"/>
    </row>
    <row r="7" spans="1:16" ht="18" customHeight="1" thickBot="1" x14ac:dyDescent="0.2">
      <c r="A7" s="289"/>
      <c r="B7" s="289"/>
      <c r="C7" s="289"/>
      <c r="D7" s="289"/>
      <c r="E7" s="289"/>
      <c r="F7" s="289"/>
      <c r="G7" s="289"/>
      <c r="H7" s="289"/>
      <c r="I7" s="289"/>
      <c r="J7" s="265"/>
      <c r="L7" s="276"/>
      <c r="M7" s="275"/>
      <c r="N7" s="275"/>
      <c r="O7" s="275"/>
      <c r="P7" s="275"/>
    </row>
    <row r="8" spans="1:16" ht="19" thickBot="1" x14ac:dyDescent="0.25">
      <c r="A8" s="1678" t="s">
        <v>15</v>
      </c>
      <c r="B8" s="1679"/>
      <c r="C8" s="1679"/>
      <c r="D8" s="1679"/>
      <c r="E8" s="1679"/>
      <c r="F8" s="1680"/>
      <c r="G8" s="1675" t="s">
        <v>181</v>
      </c>
      <c r="H8" s="1676"/>
      <c r="I8" s="1676"/>
      <c r="J8" s="1677"/>
      <c r="L8" s="276"/>
      <c r="M8" s="275"/>
      <c r="N8" s="275"/>
      <c r="O8" s="275"/>
      <c r="P8" s="275"/>
    </row>
    <row r="9" spans="1:16" ht="39" x14ac:dyDescent="0.15">
      <c r="A9" s="525" t="s">
        <v>58</v>
      </c>
      <c r="B9" s="525" t="s">
        <v>77</v>
      </c>
      <c r="C9" s="528" t="s">
        <v>78</v>
      </c>
      <c r="D9" s="525" t="s">
        <v>79</v>
      </c>
      <c r="E9" s="525" t="s">
        <v>80</v>
      </c>
      <c r="F9" s="525" t="s">
        <v>81</v>
      </c>
      <c r="G9" s="529" t="s">
        <v>198</v>
      </c>
      <c r="H9" s="530" t="s">
        <v>200</v>
      </c>
      <c r="I9" s="530" t="s">
        <v>201</v>
      </c>
      <c r="J9" s="531">
        <v>0.14000000000000001</v>
      </c>
    </row>
    <row r="10" spans="1:16" ht="15" customHeight="1" x14ac:dyDescent="0.15">
      <c r="A10" s="435" t="s">
        <v>246</v>
      </c>
      <c r="B10" s="316">
        <f>+'Statens skalatrin'!D46+F24/12</f>
        <v>20463.777469250002</v>
      </c>
      <c r="C10" s="317">
        <f>+'Statens skalatrin'!F46+F24/12</f>
        <v>20886.277469250002</v>
      </c>
      <c r="D10" s="318">
        <f>+'Statens skalatrin'!H46+F24/12</f>
        <v>21178.777469250002</v>
      </c>
      <c r="E10" s="316">
        <f>+'Statens skalatrin'!J46+F24/12</f>
        <v>21601.197469250001</v>
      </c>
      <c r="F10" s="316">
        <f>+'Statens skalatrin'!L46+F24/12</f>
        <v>21893.617469249999</v>
      </c>
      <c r="G10" s="319">
        <f>+'Statens skalatrin'!O46+F24/12</f>
        <v>19144.31746925</v>
      </c>
      <c r="H10" s="320">
        <f>J10*1/3</f>
        <v>893.40148189833337</v>
      </c>
      <c r="I10" s="321">
        <f>J10*2/3</f>
        <v>1786.8029637966667</v>
      </c>
      <c r="J10" s="321">
        <f>G10*$J$9</f>
        <v>2680.2044456950002</v>
      </c>
    </row>
    <row r="11" spans="1:16" ht="15" customHeight="1" x14ac:dyDescent="0.15">
      <c r="A11" s="328">
        <v>17</v>
      </c>
      <c r="B11" s="316">
        <f>+'Statens skalatrin'!D55</f>
        <v>21305</v>
      </c>
      <c r="C11" s="317">
        <f>+'Statens skalatrin'!F55</f>
        <v>21760.42</v>
      </c>
      <c r="D11" s="318">
        <f>+'Statens skalatrin'!H55</f>
        <v>22075.67</v>
      </c>
      <c r="E11" s="316">
        <f>'Statens skalatrin'!J55</f>
        <v>22531</v>
      </c>
      <c r="F11" s="316">
        <f>+'Statens skalatrin'!L55</f>
        <v>22846.080000000002</v>
      </c>
      <c r="G11" s="319">
        <f>+'Statens skalatrin'!O55</f>
        <v>20009.669999999998</v>
      </c>
      <c r="H11" s="320">
        <f>J11*1/3</f>
        <v>933.78459999999995</v>
      </c>
      <c r="I11" s="321">
        <f>J11*2/3</f>
        <v>1867.5691999999999</v>
      </c>
      <c r="J11" s="321">
        <f>G11*$J$9</f>
        <v>2801.3537999999999</v>
      </c>
    </row>
    <row r="12" spans="1:16" ht="17" customHeight="1" thickBot="1" x14ac:dyDescent="0.2">
      <c r="A12" s="329" t="s">
        <v>182</v>
      </c>
      <c r="B12" s="322">
        <f>+'Statens skalatrin'!D64+F25/12</f>
        <v>22339.133698500002</v>
      </c>
      <c r="C12" s="323">
        <f>+'Statens skalatrin'!F64+F25/12</f>
        <v>22830.0536985</v>
      </c>
      <c r="D12" s="324">
        <f>+'Statens skalatrin'!H64+F25/12</f>
        <v>23170.0536985</v>
      </c>
      <c r="E12" s="322">
        <f>+'Statens skalatrin'!J64+F25/12</f>
        <v>23661.0536985</v>
      </c>
      <c r="F12" s="322">
        <f>+'Statens skalatrin'!L64+F25/12</f>
        <v>24000.8036985</v>
      </c>
      <c r="G12" s="325">
        <f>+'Statens skalatrin'!O64+F25/12</f>
        <v>21187.173698500003</v>
      </c>
      <c r="H12" s="326">
        <f>J12*1/3</f>
        <v>988.73477259666686</v>
      </c>
      <c r="I12" s="327">
        <f>J12*2/3</f>
        <v>1977.4695451933337</v>
      </c>
      <c r="J12" s="327">
        <f>G12*$J$9</f>
        <v>2966.2043177900005</v>
      </c>
    </row>
    <row r="13" spans="1:16" ht="17" customHeight="1" x14ac:dyDescent="0.15">
      <c r="A13" s="275" t="s">
        <v>260</v>
      </c>
      <c r="B13" s="269"/>
      <c r="C13" s="269"/>
      <c r="D13" s="269"/>
      <c r="E13" s="269"/>
      <c r="F13" s="269"/>
      <c r="G13" s="293"/>
      <c r="H13" s="294"/>
      <c r="I13" s="295"/>
      <c r="J13" s="295"/>
    </row>
    <row r="14" spans="1:16" ht="16" customHeight="1" thickBot="1" x14ac:dyDescent="0.2">
      <c r="A14" s="290"/>
      <c r="B14" s="290"/>
      <c r="C14" s="290"/>
      <c r="D14" s="290"/>
      <c r="E14" s="290"/>
      <c r="F14" s="290"/>
      <c r="G14" s="290"/>
      <c r="H14" s="290"/>
      <c r="I14" s="290"/>
      <c r="J14" s="265"/>
      <c r="L14" s="292"/>
    </row>
    <row r="15" spans="1:16" ht="16" customHeight="1" thickBot="1" x14ac:dyDescent="0.25">
      <c r="A15" s="1675" t="s">
        <v>183</v>
      </c>
      <c r="B15" s="1676"/>
      <c r="C15" s="1676"/>
      <c r="D15" s="1676"/>
      <c r="E15" s="1676"/>
      <c r="F15" s="1677"/>
      <c r="G15" s="275"/>
      <c r="H15" s="275"/>
      <c r="I15" s="275"/>
      <c r="J15" s="265"/>
      <c r="L15" s="292"/>
    </row>
    <row r="16" spans="1:16" ht="16" customHeight="1" thickBot="1" x14ac:dyDescent="0.2">
      <c r="A16" s="279" t="s">
        <v>184</v>
      </c>
      <c r="B16" s="280"/>
      <c r="C16" s="280"/>
      <c r="D16" s="280"/>
      <c r="E16" s="280"/>
      <c r="F16" s="281"/>
      <c r="G16" s="275"/>
      <c r="H16" s="275"/>
      <c r="I16" s="275"/>
      <c r="J16" s="265"/>
      <c r="L16" s="292"/>
    </row>
    <row r="17" spans="1:10" ht="16" customHeight="1" x14ac:dyDescent="0.15">
      <c r="A17" s="525" t="s">
        <v>58</v>
      </c>
      <c r="B17" s="526" t="s">
        <v>77</v>
      </c>
      <c r="C17" s="525" t="s">
        <v>78</v>
      </c>
      <c r="D17" s="526" t="s">
        <v>79</v>
      </c>
      <c r="E17" s="525" t="s">
        <v>80</v>
      </c>
      <c r="F17" s="527" t="s">
        <v>81</v>
      </c>
      <c r="G17" s="275"/>
      <c r="H17" s="275"/>
      <c r="I17" s="275"/>
      <c r="J17" s="265"/>
    </row>
    <row r="18" spans="1:10" ht="16" customHeight="1" thickBot="1" x14ac:dyDescent="0.2">
      <c r="A18" s="333">
        <v>14</v>
      </c>
      <c r="B18" s="330">
        <f>B10*12/1924</f>
        <v>127.63270770841997</v>
      </c>
      <c r="C18" s="331">
        <f>C10*12/1924</f>
        <v>130.26784284355512</v>
      </c>
      <c r="D18" s="330">
        <f>D10*12/1924</f>
        <v>132.09216716787944</v>
      </c>
      <c r="E18" s="331">
        <f>E10*12/1924</f>
        <v>134.72680334251561</v>
      </c>
      <c r="F18" s="332">
        <f>F10*12/1924</f>
        <v>136.55062870634097</v>
      </c>
      <c r="G18" s="275"/>
      <c r="H18" s="274"/>
      <c r="I18" s="274"/>
      <c r="J18" s="265"/>
    </row>
    <row r="19" spans="1:10" ht="15" customHeight="1" x14ac:dyDescent="0.15">
      <c r="A19" s="284"/>
      <c r="B19" s="283"/>
      <c r="C19" s="283"/>
      <c r="D19" s="283"/>
      <c r="E19" s="283"/>
      <c r="F19" s="283"/>
      <c r="G19" s="275"/>
      <c r="H19" s="274"/>
      <c r="I19" s="274"/>
      <c r="J19" s="265"/>
    </row>
    <row r="20" spans="1:10" ht="13" customHeight="1" thickBot="1" x14ac:dyDescent="0.2">
      <c r="A20" s="284"/>
      <c r="B20" s="283"/>
      <c r="C20" s="283"/>
      <c r="D20" s="283"/>
      <c r="E20" s="283"/>
      <c r="F20" s="283"/>
      <c r="G20" s="275"/>
      <c r="H20" s="274"/>
      <c r="I20" s="274"/>
      <c r="J20" s="265"/>
    </row>
    <row r="21" spans="1:10" ht="15" customHeight="1" thickBot="1" x14ac:dyDescent="0.2">
      <c r="A21" s="1076" t="s">
        <v>176</v>
      </c>
      <c r="B21" s="1077"/>
      <c r="C21" s="1077"/>
      <c r="D21" s="1077"/>
      <c r="E21" s="1077"/>
      <c r="F21" s="1078"/>
      <c r="G21" s="237"/>
      <c r="H21" s="237"/>
      <c r="I21" s="237"/>
      <c r="J21" s="265"/>
    </row>
    <row r="22" spans="1:10" ht="15" customHeight="1" x14ac:dyDescent="0.15">
      <c r="A22" s="1649" t="s">
        <v>195</v>
      </c>
      <c r="B22" s="1650"/>
      <c r="C22" s="1650"/>
      <c r="D22" s="1650"/>
      <c r="E22" s="519" t="s">
        <v>100</v>
      </c>
      <c r="F22" s="523" t="s">
        <v>105</v>
      </c>
      <c r="G22" s="286"/>
      <c r="H22" s="275"/>
      <c r="I22" s="275"/>
      <c r="J22" s="265"/>
    </row>
    <row r="23" spans="1:10" ht="15" customHeight="1" thickBot="1" x14ac:dyDescent="0.2">
      <c r="A23" s="1652"/>
      <c r="B23" s="1653"/>
      <c r="C23" s="1653"/>
      <c r="D23" s="1653"/>
      <c r="E23" s="521">
        <v>40999</v>
      </c>
      <c r="F23" s="524" t="str">
        <f>'Løntabel gældende fra'!$D$1</f>
        <v>01/04/2018</v>
      </c>
      <c r="G23" s="286"/>
      <c r="H23" s="275"/>
      <c r="I23" s="275"/>
      <c r="J23" s="265"/>
    </row>
    <row r="24" spans="1:10" ht="15" customHeight="1" thickBot="1" x14ac:dyDescent="0.2">
      <c r="A24" s="1685" t="s">
        <v>245</v>
      </c>
      <c r="B24" s="1686"/>
      <c r="C24" s="1686"/>
      <c r="D24" s="496"/>
      <c r="E24" s="342">
        <v>1957</v>
      </c>
      <c r="F24" s="334">
        <f>E24+E24*'Løntabel gældende fra'!$D$7%</f>
        <v>2093.369631</v>
      </c>
      <c r="G24" s="286"/>
      <c r="H24" s="275"/>
      <c r="I24" s="275"/>
      <c r="J24" s="265"/>
    </row>
    <row r="25" spans="1:10" ht="15" customHeight="1" thickBot="1" x14ac:dyDescent="0.2">
      <c r="A25" s="1683" t="s">
        <v>196</v>
      </c>
      <c r="B25" s="1684"/>
      <c r="C25" s="1684"/>
      <c r="D25" s="497"/>
      <c r="E25" s="342">
        <v>554</v>
      </c>
      <c r="F25" s="334">
        <f>E25+E25*'Løntabel gældende fra'!$D$7%</f>
        <v>592.60438199999999</v>
      </c>
      <c r="G25" s="286"/>
      <c r="H25" s="275"/>
      <c r="I25" s="275"/>
      <c r="J25" s="265"/>
    </row>
    <row r="26" spans="1:10" ht="15" customHeight="1" x14ac:dyDescent="0.15">
      <c r="A26" s="285"/>
      <c r="B26" s="283"/>
      <c r="C26" s="283"/>
      <c r="D26" s="283"/>
      <c r="E26" s="283"/>
      <c r="F26" s="283"/>
      <c r="G26" s="275"/>
      <c r="H26" s="275"/>
      <c r="I26" s="275"/>
      <c r="J26" s="265"/>
    </row>
    <row r="27" spans="1:10" ht="15" customHeight="1" thickBot="1" x14ac:dyDescent="0.2">
      <c r="A27" s="285"/>
      <c r="B27" s="283"/>
      <c r="C27" s="283"/>
      <c r="D27" s="283"/>
      <c r="E27" s="283"/>
      <c r="F27" s="283"/>
      <c r="G27" s="275"/>
      <c r="H27" s="275"/>
      <c r="I27" s="275"/>
      <c r="J27" s="265"/>
    </row>
    <row r="28" spans="1:10" ht="15" customHeight="1" thickBot="1" x14ac:dyDescent="0.2">
      <c r="A28" s="1076" t="s">
        <v>185</v>
      </c>
      <c r="B28" s="1077"/>
      <c r="C28" s="1077"/>
      <c r="D28" s="1077"/>
      <c r="E28" s="1077"/>
      <c r="F28" s="1077"/>
      <c r="G28" s="1077"/>
      <c r="H28" s="1077"/>
      <c r="I28" s="1078"/>
      <c r="J28" s="265"/>
    </row>
    <row r="29" spans="1:10" ht="15" customHeight="1" thickBot="1" x14ac:dyDescent="0.2">
      <c r="A29" s="1657"/>
      <c r="B29" s="1658"/>
      <c r="C29" s="1658"/>
      <c r="D29" s="1658"/>
      <c r="E29" s="1658"/>
      <c r="F29" s="1658"/>
      <c r="G29" s="1658"/>
      <c r="H29" s="519" t="s">
        <v>100</v>
      </c>
      <c r="I29" s="520" t="s">
        <v>105</v>
      </c>
      <c r="J29" s="265"/>
    </row>
    <row r="30" spans="1:10" ht="15" customHeight="1" thickBot="1" x14ac:dyDescent="0.2">
      <c r="A30" s="1659"/>
      <c r="B30" s="1660"/>
      <c r="C30" s="1660"/>
      <c r="D30" s="1660"/>
      <c r="E30" s="1660"/>
      <c r="F30" s="1660"/>
      <c r="G30" s="1661"/>
      <c r="H30" s="521">
        <v>40999</v>
      </c>
      <c r="I30" s="522" t="str">
        <f>'Løntabel gældende fra'!$D$1</f>
        <v>01/04/2018</v>
      </c>
      <c r="J30" s="265"/>
    </row>
    <row r="31" spans="1:10" ht="15" customHeight="1" x14ac:dyDescent="0.15">
      <c r="A31" s="1662" t="s">
        <v>186</v>
      </c>
      <c r="B31" s="1663"/>
      <c r="C31" s="1663"/>
      <c r="D31" s="1663"/>
      <c r="E31" s="1663"/>
      <c r="F31" s="270"/>
      <c r="G31" s="272" t="s">
        <v>178</v>
      </c>
      <c r="H31" s="335">
        <v>22.32</v>
      </c>
      <c r="I31" s="336">
        <f>H31+H31*'Løntabel gældende fra'!$D$7%</f>
        <v>23.875324559999999</v>
      </c>
      <c r="J31" s="265"/>
    </row>
    <row r="32" spans="1:10" ht="15" customHeight="1" x14ac:dyDescent="0.15">
      <c r="A32" s="1670" t="s">
        <v>187</v>
      </c>
      <c r="B32" s="1671"/>
      <c r="C32" s="1671"/>
      <c r="D32" s="1671"/>
      <c r="E32" s="1671"/>
      <c r="F32" s="291"/>
      <c r="G32" s="273" t="s">
        <v>178</v>
      </c>
      <c r="H32" s="337">
        <v>39.921999999999997</v>
      </c>
      <c r="I32" s="338">
        <f>H32+H32*'Løntabel gældende fra'!$D$7%</f>
        <v>42.703884725999998</v>
      </c>
      <c r="J32" s="265"/>
    </row>
    <row r="33" spans="1:10" ht="26" customHeight="1" x14ac:dyDescent="0.15">
      <c r="A33" s="1662" t="s">
        <v>188</v>
      </c>
      <c r="B33" s="1663"/>
      <c r="C33" s="1663"/>
      <c r="D33" s="1663"/>
      <c r="E33" s="1663"/>
      <c r="F33" s="1663"/>
      <c r="G33" s="273" t="s">
        <v>178</v>
      </c>
      <c r="H33" s="337">
        <v>39.92</v>
      </c>
      <c r="I33" s="338">
        <f>H33+H33*'Løntabel gældende fra'!$D$7%</f>
        <v>42.701745360000004</v>
      </c>
      <c r="J33" s="265"/>
    </row>
    <row r="34" spans="1:10" ht="15" customHeight="1" thickBot="1" x14ac:dyDescent="0.2">
      <c r="A34" s="304" t="s">
        <v>177</v>
      </c>
      <c r="B34" s="303"/>
      <c r="C34" s="303"/>
      <c r="D34" s="303"/>
      <c r="E34" s="287"/>
      <c r="F34" s="287"/>
      <c r="G34" s="298" t="s">
        <v>178</v>
      </c>
      <c r="H34" s="339">
        <v>39.921999999999997</v>
      </c>
      <c r="I34" s="340">
        <f>H34+H34*'Løntabel gældende fra'!$D$7%</f>
        <v>42.703884725999998</v>
      </c>
      <c r="J34" s="265"/>
    </row>
    <row r="35" spans="1:10" ht="15" customHeight="1" x14ac:dyDescent="0.15">
      <c r="A35" s="297"/>
      <c r="B35" s="297"/>
      <c r="C35" s="297"/>
      <c r="D35" s="297"/>
      <c r="E35" s="297"/>
      <c r="F35" s="297"/>
      <c r="G35" s="297"/>
      <c r="H35" s="256"/>
      <c r="I35" s="296"/>
      <c r="J35" s="265"/>
    </row>
    <row r="36" spans="1:10" ht="15" customHeight="1" thickBot="1" x14ac:dyDescent="0.2">
      <c r="A36" s="297"/>
      <c r="B36" s="297"/>
      <c r="C36" s="297"/>
      <c r="D36" s="297"/>
      <c r="E36" s="297"/>
      <c r="F36" s="297"/>
      <c r="G36" s="297"/>
      <c r="H36" s="256"/>
      <c r="I36" s="296"/>
      <c r="J36" s="265"/>
    </row>
    <row r="37" spans="1:10" ht="15" customHeight="1" thickBot="1" x14ac:dyDescent="0.2">
      <c r="A37" s="1076" t="s">
        <v>189</v>
      </c>
      <c r="B37" s="1077"/>
      <c r="C37" s="1077"/>
      <c r="D37" s="1077"/>
      <c r="E37" s="1077"/>
      <c r="F37" s="1077"/>
      <c r="G37" s="1077"/>
      <c r="H37" s="1077"/>
      <c r="I37" s="1078"/>
      <c r="J37" s="275"/>
    </row>
    <row r="38" spans="1:10" ht="15" customHeight="1" thickBot="1" x14ac:dyDescent="0.2">
      <c r="A38" s="1657"/>
      <c r="B38" s="1658"/>
      <c r="C38" s="1658"/>
      <c r="D38" s="1658"/>
      <c r="E38" s="1658"/>
      <c r="F38" s="1658"/>
      <c r="G38" s="1658"/>
      <c r="H38" s="519" t="s">
        <v>100</v>
      </c>
      <c r="I38" s="520" t="s">
        <v>105</v>
      </c>
      <c r="J38" s="275"/>
    </row>
    <row r="39" spans="1:10" ht="15" customHeight="1" thickBot="1" x14ac:dyDescent="0.2">
      <c r="A39" s="1659"/>
      <c r="B39" s="1660"/>
      <c r="C39" s="1660"/>
      <c r="D39" s="1660"/>
      <c r="E39" s="1660"/>
      <c r="F39" s="1660"/>
      <c r="G39" s="1661"/>
      <c r="H39" s="521">
        <v>40999</v>
      </c>
      <c r="I39" s="522" t="str">
        <f>'Løntabel gældende fra'!$D$1</f>
        <v>01/04/2018</v>
      </c>
      <c r="J39" s="275"/>
    </row>
    <row r="40" spans="1:10" ht="15" customHeight="1" thickBot="1" x14ac:dyDescent="0.2">
      <c r="A40" s="1655" t="s">
        <v>190</v>
      </c>
      <c r="B40" s="1656"/>
      <c r="C40" s="1656"/>
      <c r="D40" s="1656"/>
      <c r="E40" s="1656"/>
      <c r="F40" s="271"/>
      <c r="G40" s="282" t="s">
        <v>178</v>
      </c>
      <c r="H40" s="341">
        <v>6.88</v>
      </c>
      <c r="I40" s="334">
        <f>H40+H40*'Løntabel gældende fra'!$D$7%</f>
        <v>7.3594190399999997</v>
      </c>
      <c r="J40" s="275"/>
    </row>
    <row r="41" spans="1:10" ht="15" customHeight="1" x14ac:dyDescent="0.15">
      <c r="A41" s="265"/>
      <c r="B41" s="265"/>
      <c r="C41" s="265"/>
      <c r="D41" s="265"/>
      <c r="E41" s="265"/>
      <c r="F41" s="266"/>
      <c r="G41" s="265"/>
      <c r="H41" s="266"/>
      <c r="I41" s="265"/>
      <c r="J41" s="275"/>
    </row>
    <row r="42" spans="1:10" ht="15" customHeight="1" thickBot="1" x14ac:dyDescent="0.2">
      <c r="A42" s="265"/>
      <c r="B42" s="265"/>
      <c r="C42" s="265"/>
      <c r="D42" s="265"/>
      <c r="E42" s="265"/>
      <c r="F42" s="266"/>
      <c r="G42" s="265"/>
      <c r="H42" s="266"/>
      <c r="I42" s="265"/>
      <c r="J42" s="275"/>
    </row>
    <row r="43" spans="1:10" ht="15" customHeight="1" thickBot="1" x14ac:dyDescent="0.2">
      <c r="A43" s="1076" t="s">
        <v>191</v>
      </c>
      <c r="B43" s="1077"/>
      <c r="C43" s="1077"/>
      <c r="D43" s="1077"/>
      <c r="E43" s="1077"/>
      <c r="F43" s="1077"/>
      <c r="G43" s="1077"/>
      <c r="H43" s="1077"/>
      <c r="I43" s="1078"/>
      <c r="J43" s="275"/>
    </row>
    <row r="44" spans="1:10" ht="15" customHeight="1" x14ac:dyDescent="0.15">
      <c r="A44" s="1664"/>
      <c r="B44" s="1665"/>
      <c r="C44" s="1665"/>
      <c r="D44" s="1665"/>
      <c r="E44" s="1665"/>
      <c r="F44" s="1665"/>
      <c r="G44" s="1666"/>
      <c r="H44" s="519" t="s">
        <v>100</v>
      </c>
      <c r="I44" s="520" t="s">
        <v>105</v>
      </c>
      <c r="J44" s="275"/>
    </row>
    <row r="45" spans="1:10" ht="15" customHeight="1" thickBot="1" x14ac:dyDescent="0.2">
      <c r="A45" s="1667"/>
      <c r="B45" s="1668"/>
      <c r="C45" s="1668"/>
      <c r="D45" s="1668"/>
      <c r="E45" s="1668"/>
      <c r="F45" s="1668"/>
      <c r="G45" s="1669"/>
      <c r="H45" s="521">
        <v>40999</v>
      </c>
      <c r="I45" s="522" t="str">
        <f>'Løntabel gældende fra'!$D$1</f>
        <v>01/04/2018</v>
      </c>
      <c r="J45" s="275"/>
    </row>
    <row r="46" spans="1:10" ht="15" customHeight="1" thickBot="1" x14ac:dyDescent="0.2">
      <c r="A46" s="1655" t="s">
        <v>204</v>
      </c>
      <c r="B46" s="1656"/>
      <c r="C46" s="1656"/>
      <c r="D46" s="1656"/>
      <c r="E46" s="1656"/>
      <c r="F46" s="271"/>
      <c r="G46" s="282"/>
      <c r="H46" s="341">
        <v>655</v>
      </c>
      <c r="I46" s="334">
        <f>H46+H46*'Løntabel gældende fra'!$D$7%</f>
        <v>700.64236500000004</v>
      </c>
      <c r="J46" s="275"/>
    </row>
    <row r="47" spans="1:10" ht="15" customHeight="1" x14ac:dyDescent="0.15">
      <c r="A47" s="265"/>
      <c r="B47" s="265"/>
      <c r="C47" s="265"/>
      <c r="D47" s="265"/>
      <c r="E47" s="265"/>
      <c r="F47" s="266"/>
      <c r="G47" s="265"/>
      <c r="H47" s="266"/>
      <c r="I47" s="265"/>
      <c r="J47" s="275"/>
    </row>
    <row r="48" spans="1:10" ht="15" customHeight="1" thickBot="1" x14ac:dyDescent="0.2">
      <c r="A48" s="265"/>
      <c r="B48" s="265"/>
      <c r="C48" s="265"/>
      <c r="D48" s="265"/>
      <c r="E48" s="265"/>
      <c r="F48" s="266"/>
      <c r="G48" s="265"/>
      <c r="H48" s="266"/>
      <c r="I48" s="265"/>
      <c r="J48" s="275"/>
    </row>
    <row r="49" spans="1:10" ht="15" customHeight="1" thickBot="1" x14ac:dyDescent="0.2">
      <c r="A49" s="1076" t="s">
        <v>192</v>
      </c>
      <c r="B49" s="1077"/>
      <c r="C49" s="1077"/>
      <c r="D49" s="1077"/>
      <c r="E49" s="1077"/>
      <c r="F49" s="1077"/>
      <c r="G49" s="1077"/>
      <c r="H49" s="1077"/>
      <c r="I49" s="1078"/>
      <c r="J49" s="275"/>
    </row>
    <row r="50" spans="1:10" ht="15" customHeight="1" x14ac:dyDescent="0.15">
      <c r="A50" s="1649" t="s">
        <v>194</v>
      </c>
      <c r="B50" s="1650"/>
      <c r="C50" s="1650"/>
      <c r="D50" s="1650"/>
      <c r="E50" s="1650"/>
      <c r="F50" s="1650"/>
      <c r="G50" s="1651"/>
      <c r="H50" s="519" t="s">
        <v>100</v>
      </c>
      <c r="I50" s="520" t="s">
        <v>105</v>
      </c>
      <c r="J50" s="275"/>
    </row>
    <row r="51" spans="1:10" ht="15" customHeight="1" thickBot="1" x14ac:dyDescent="0.2">
      <c r="A51" s="1652"/>
      <c r="B51" s="1653"/>
      <c r="C51" s="1653"/>
      <c r="D51" s="1653"/>
      <c r="E51" s="1653"/>
      <c r="F51" s="1653"/>
      <c r="G51" s="1654"/>
      <c r="H51" s="521">
        <v>40999</v>
      </c>
      <c r="I51" s="522" t="str">
        <f>'Løntabel gældende fra'!$D$1</f>
        <v>01/04/2018</v>
      </c>
      <c r="J51" s="275"/>
    </row>
    <row r="52" spans="1:10" ht="15" customHeight="1" thickBot="1" x14ac:dyDescent="0.2">
      <c r="A52" s="1655" t="s">
        <v>193</v>
      </c>
      <c r="B52" s="1656"/>
      <c r="C52" s="1656"/>
      <c r="D52" s="1656"/>
      <c r="E52" s="1656"/>
      <c r="F52" s="271"/>
      <c r="G52" s="282"/>
      <c r="H52" s="341">
        <v>0</v>
      </c>
      <c r="I52" s="334">
        <f>H52+H52*'Løntabel gældende fra'!$D$7%</f>
        <v>0</v>
      </c>
      <c r="J52" s="275"/>
    </row>
    <row r="53" spans="1:10" ht="15" customHeight="1" x14ac:dyDescent="0.15">
      <c r="A53" s="265"/>
      <c r="B53" s="265"/>
      <c r="C53" s="265"/>
      <c r="D53" s="265"/>
      <c r="E53" s="265"/>
      <c r="F53" s="266"/>
      <c r="G53" s="265"/>
      <c r="H53" s="266"/>
      <c r="I53" s="265"/>
      <c r="J53" s="275"/>
    </row>
    <row r="54" spans="1:10" ht="15" customHeight="1" thickBot="1" x14ac:dyDescent="0.2">
      <c r="A54" s="265"/>
      <c r="B54" s="265"/>
      <c r="C54" s="265"/>
      <c r="D54" s="265"/>
      <c r="E54" s="265"/>
      <c r="F54" s="266"/>
      <c r="G54" s="265"/>
      <c r="H54" s="266"/>
      <c r="I54" s="265"/>
      <c r="J54" s="275"/>
    </row>
    <row r="55" spans="1:10" s="275" customFormat="1" ht="19" thickBot="1" x14ac:dyDescent="0.2">
      <c r="A55" s="1076" t="s">
        <v>197</v>
      </c>
      <c r="B55" s="1077"/>
      <c r="C55" s="1077"/>
      <c r="D55" s="1077"/>
      <c r="E55" s="1077"/>
      <c r="F55" s="1077"/>
      <c r="G55" s="1077"/>
      <c r="H55" s="1077"/>
      <c r="I55" s="1078"/>
    </row>
    <row r="56" spans="1:10" s="275" customFormat="1" ht="14" x14ac:dyDescent="0.15">
      <c r="A56" s="1649"/>
      <c r="B56" s="1650"/>
      <c r="C56" s="1650"/>
      <c r="D56" s="1650"/>
      <c r="E56" s="1650"/>
      <c r="F56" s="1650"/>
      <c r="G56" s="1651"/>
      <c r="H56" s="519" t="s">
        <v>100</v>
      </c>
      <c r="I56" s="520" t="s">
        <v>105</v>
      </c>
    </row>
    <row r="57" spans="1:10" s="275" customFormat="1" ht="15" thickBot="1" x14ac:dyDescent="0.2">
      <c r="A57" s="1652"/>
      <c r="B57" s="1653"/>
      <c r="C57" s="1653"/>
      <c r="D57" s="1653"/>
      <c r="E57" s="1653"/>
      <c r="F57" s="1653"/>
      <c r="G57" s="1654"/>
      <c r="H57" s="521">
        <v>40999</v>
      </c>
      <c r="I57" s="522" t="str">
        <f>'Løntabel gældende fra'!$D$1</f>
        <v>01/04/2018</v>
      </c>
    </row>
    <row r="58" spans="1:10" s="275" customFormat="1" ht="15" thickBot="1" x14ac:dyDescent="0.2">
      <c r="A58" s="1655" t="s">
        <v>197</v>
      </c>
      <c r="B58" s="1656"/>
      <c r="C58" s="1656"/>
      <c r="D58" s="1656"/>
      <c r="E58" s="1656"/>
      <c r="F58" s="271"/>
      <c r="G58" s="282"/>
      <c r="H58" s="341">
        <v>10500</v>
      </c>
      <c r="I58" s="342">
        <f>H58+H58*'Løntabel gældende fra'!$D$7%</f>
        <v>11231.6715</v>
      </c>
    </row>
    <row r="59" spans="1:10" s="302" customFormat="1" ht="14" x14ac:dyDescent="0.15">
      <c r="A59" s="299"/>
      <c r="B59" s="299"/>
      <c r="C59" s="299"/>
      <c r="D59" s="299"/>
      <c r="E59" s="299"/>
      <c r="F59" s="286"/>
      <c r="G59" s="286"/>
      <c r="H59" s="300"/>
      <c r="I59" s="301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  <mergeCell ref="A33:F33"/>
    <mergeCell ref="A43:I43"/>
    <mergeCell ref="A44:G45"/>
    <mergeCell ref="A49:I49"/>
    <mergeCell ref="A50:G51"/>
    <mergeCell ref="A56:G57"/>
    <mergeCell ref="A58:E58"/>
    <mergeCell ref="A46:E46"/>
    <mergeCell ref="A52:E52"/>
    <mergeCell ref="A37:I37"/>
    <mergeCell ref="A38:G39"/>
    <mergeCell ref="A40:E40"/>
    <mergeCell ref="A55:I55"/>
  </mergeCells>
  <phoneticPr fontId="6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125" zoomScaleNormal="125" zoomScalePageLayoutView="125" workbookViewId="0">
      <selection activeCell="H12" sqref="H12"/>
    </sheetView>
  </sheetViews>
  <sheetFormatPr baseColWidth="10" defaultColWidth="8.83203125" defaultRowHeight="13" x14ac:dyDescent="0.15"/>
  <cols>
    <col min="1" max="1" width="13.33203125" style="245" customWidth="1"/>
    <col min="2" max="2" width="15" style="245" customWidth="1"/>
    <col min="3" max="3" width="16.33203125" style="245" customWidth="1"/>
    <col min="4" max="4" width="16.1640625" style="246" customWidth="1"/>
    <col min="5" max="5" width="17.33203125" style="245" customWidth="1"/>
    <col min="6" max="6" width="13.6640625" style="247" customWidth="1"/>
    <col min="7" max="7" width="0.33203125" style="247" customWidth="1"/>
    <col min="8" max="8" width="10.6640625" style="245" customWidth="1"/>
    <col min="9" max="16384" width="8.83203125" style="245"/>
  </cols>
  <sheetData>
    <row r="1" spans="1:9" s="2" customFormat="1" ht="22" customHeight="1" x14ac:dyDescent="0.2">
      <c r="A1" s="1118" t="s">
        <v>20</v>
      </c>
      <c r="B1" s="1119"/>
      <c r="C1" s="1119"/>
      <c r="D1" s="1119"/>
      <c r="E1" s="1119"/>
      <c r="F1" s="1119"/>
      <c r="G1" s="1120"/>
      <c r="H1" s="479"/>
      <c r="I1" s="42"/>
    </row>
    <row r="2" spans="1:9" s="2" customFormat="1" ht="76" customHeight="1" x14ac:dyDescent="0.2">
      <c r="A2" s="1672" t="s">
        <v>158</v>
      </c>
      <c r="B2" s="1673"/>
      <c r="C2" s="1673"/>
      <c r="D2" s="1673"/>
      <c r="E2" s="1673"/>
      <c r="F2" s="1673"/>
      <c r="G2" s="1674"/>
      <c r="H2" s="478"/>
    </row>
    <row r="3" spans="1:9" s="2" customFormat="1" ht="28" customHeight="1" thickBot="1" x14ac:dyDescent="0.25">
      <c r="A3" s="1265" t="s">
        <v>238</v>
      </c>
      <c r="B3" s="1266"/>
      <c r="C3" s="1266"/>
      <c r="D3" s="1266"/>
      <c r="E3" s="1266"/>
      <c r="F3" s="1266"/>
      <c r="G3" s="1267"/>
      <c r="H3" s="479"/>
    </row>
    <row r="4" spans="1:9" ht="12" customHeight="1" thickBot="1" x14ac:dyDescent="0.25">
      <c r="A4" s="1688"/>
      <c r="B4" s="1688"/>
      <c r="C4" s="1688"/>
      <c r="D4" s="1688"/>
      <c r="E4" s="1688"/>
      <c r="F4" s="1688"/>
      <c r="G4" s="1688"/>
    </row>
    <row r="5" spans="1:9" ht="19" thickBot="1" x14ac:dyDescent="0.2">
      <c r="A5" s="541" t="s">
        <v>161</v>
      </c>
      <c r="B5" s="542"/>
      <c r="C5" s="542"/>
      <c r="D5" s="542"/>
      <c r="E5" s="542"/>
      <c r="F5" s="480"/>
      <c r="G5" s="543"/>
    </row>
    <row r="6" spans="1:9" ht="30" customHeight="1" x14ac:dyDescent="0.15">
      <c r="A6" s="1083" t="s">
        <v>148</v>
      </c>
      <c r="B6" s="1083" t="s">
        <v>96</v>
      </c>
      <c r="C6" s="483" t="s">
        <v>102</v>
      </c>
      <c r="D6" s="484" t="s">
        <v>102</v>
      </c>
      <c r="E6" s="484" t="s">
        <v>103</v>
      </c>
      <c r="F6" s="421" t="s">
        <v>149</v>
      </c>
    </row>
    <row r="7" spans="1:9" ht="15" customHeight="1" thickBot="1" x14ac:dyDescent="0.2">
      <c r="A7" s="1121"/>
      <c r="B7" s="1121"/>
      <c r="C7" s="418">
        <v>40999</v>
      </c>
      <c r="D7" s="392">
        <f>'Løntabel gældende fra'!C7</f>
        <v>43070</v>
      </c>
      <c r="E7" s="392">
        <f>'Løntabel gældende fra'!C7</f>
        <v>43070</v>
      </c>
      <c r="F7" s="475" t="s">
        <v>150</v>
      </c>
    </row>
    <row r="8" spans="1:9" ht="16" customHeight="1" x14ac:dyDescent="0.15">
      <c r="A8" s="103">
        <v>1</v>
      </c>
      <c r="B8" s="103" t="s">
        <v>151</v>
      </c>
      <c r="C8" s="441">
        <f>12*22670</f>
        <v>272040</v>
      </c>
      <c r="D8" s="253">
        <f>C8+(C8*'Løntabel gældende fra'!$D$7%)</f>
        <v>290996.56332000002</v>
      </c>
      <c r="E8" s="437">
        <f>D8/12</f>
        <v>24249.713610000003</v>
      </c>
      <c r="F8" s="533">
        <f>(E8*12)/1672*1</f>
        <v>174.04100677033495</v>
      </c>
    </row>
    <row r="9" spans="1:9" ht="16" customHeight="1" x14ac:dyDescent="0.15">
      <c r="A9" s="104">
        <v>2</v>
      </c>
      <c r="B9" s="104" t="s">
        <v>159</v>
      </c>
      <c r="C9" s="436">
        <f>25300*12</f>
        <v>303600</v>
      </c>
      <c r="D9" s="211">
        <f>C9+(C9*'Løntabel gældende fra'!$D$7%)</f>
        <v>324755.75880000001</v>
      </c>
      <c r="E9" s="313">
        <f>D9/12</f>
        <v>27062.979900000002</v>
      </c>
      <c r="F9" s="535">
        <f>(E9*12)/1672*1</f>
        <v>194.23191315789475</v>
      </c>
    </row>
    <row r="10" spans="1:9" ht="16" customHeight="1" x14ac:dyDescent="0.15">
      <c r="A10" s="248">
        <v>3</v>
      </c>
      <c r="B10" s="536" t="s">
        <v>152</v>
      </c>
      <c r="C10" s="537">
        <f>27920*12</f>
        <v>335040</v>
      </c>
      <c r="D10" s="211">
        <f>C10+(C10*'Løntabel gældende fra'!$D$7%)</f>
        <v>358386.59232</v>
      </c>
      <c r="E10" s="313">
        <f>D10/12</f>
        <v>29865.549360000001</v>
      </c>
      <c r="F10" s="535">
        <f>(E10*12)/1672*1</f>
        <v>214.3460480382775</v>
      </c>
    </row>
    <row r="11" spans="1:9" ht="16" customHeight="1" thickBot="1" x14ac:dyDescent="0.2">
      <c r="A11" s="249">
        <v>4</v>
      </c>
      <c r="B11" s="538" t="s">
        <v>160</v>
      </c>
      <c r="C11" s="539">
        <f>29200*12</f>
        <v>350400</v>
      </c>
      <c r="D11" s="190">
        <f>C11+(C11*'Løntabel gældende fra'!$D$7%)</f>
        <v>374816.92320000002</v>
      </c>
      <c r="E11" s="440">
        <f>D11/12</f>
        <v>31234.743600000002</v>
      </c>
      <c r="F11" s="534">
        <f>(E11*12)/1672*1</f>
        <v>224.17280095693781</v>
      </c>
    </row>
    <row r="12" spans="1:9" ht="11" customHeight="1" thickBot="1" x14ac:dyDescent="0.2"/>
    <row r="13" spans="1:9" ht="19" thickBot="1" x14ac:dyDescent="0.2">
      <c r="A13" s="1099" t="s">
        <v>162</v>
      </c>
      <c r="B13" s="1100"/>
      <c r="C13" s="1100"/>
      <c r="D13" s="1100"/>
      <c r="E13" s="1110"/>
      <c r="F13" s="237"/>
    </row>
    <row r="14" spans="1:9" ht="30" customHeight="1" x14ac:dyDescent="0.15">
      <c r="A14" s="1083" t="s">
        <v>148</v>
      </c>
      <c r="B14" s="483" t="s">
        <v>102</v>
      </c>
      <c r="C14" s="484" t="s">
        <v>102</v>
      </c>
      <c r="D14" s="484" t="s">
        <v>103</v>
      </c>
      <c r="E14" s="421" t="s">
        <v>149</v>
      </c>
      <c r="F14" s="43"/>
    </row>
    <row r="15" spans="1:9" ht="17" customHeight="1" thickBot="1" x14ac:dyDescent="0.2">
      <c r="A15" s="1121"/>
      <c r="B15" s="418">
        <v>40999</v>
      </c>
      <c r="C15" s="392">
        <f>'Løntabel gældende fra'!C7</f>
        <v>43070</v>
      </c>
      <c r="D15" s="392">
        <f>'Løntabel gældende fra'!C7</f>
        <v>43070</v>
      </c>
      <c r="E15" s="475" t="s">
        <v>150</v>
      </c>
      <c r="F15" s="43"/>
    </row>
    <row r="16" spans="1:9" ht="16" customHeight="1" x14ac:dyDescent="0.15">
      <c r="A16" s="103" t="s">
        <v>153</v>
      </c>
      <c r="B16" s="441">
        <f>12*13140</f>
        <v>157680</v>
      </c>
      <c r="C16" s="253">
        <f>B16+(B16*'Løntabel gældende fra'!$D$7%)</f>
        <v>168667.61543999999</v>
      </c>
      <c r="D16" s="437">
        <f>C16/12</f>
        <v>14055.634619999999</v>
      </c>
      <c r="E16" s="533">
        <f>(D16*12)/1672*1</f>
        <v>100.877760430622</v>
      </c>
      <c r="F16" s="252"/>
    </row>
    <row r="17" spans="1:8" ht="16" customHeight="1" thickBot="1" x14ac:dyDescent="0.2">
      <c r="A17" s="105" t="s">
        <v>154</v>
      </c>
      <c r="B17" s="438">
        <f>12*13800</f>
        <v>165600</v>
      </c>
      <c r="C17" s="190">
        <f>B17+(B17*'Løntabel gældende fra'!$D$7%)</f>
        <v>177139.5048</v>
      </c>
      <c r="D17" s="440">
        <f>C17/12</f>
        <v>14761.625399999999</v>
      </c>
      <c r="E17" s="534">
        <f>(D17*12)/1672*1</f>
        <v>105.94467990430621</v>
      </c>
      <c r="F17" s="252"/>
    </row>
    <row r="18" spans="1:8" ht="13" customHeight="1" thickBot="1" x14ac:dyDescent="0.2"/>
    <row r="19" spans="1:8" ht="19" thickBot="1" x14ac:dyDescent="0.2">
      <c r="A19" s="1099" t="s">
        <v>163</v>
      </c>
      <c r="B19" s="1100"/>
      <c r="C19" s="1100"/>
      <c r="D19" s="1100"/>
      <c r="E19" s="1110"/>
    </row>
    <row r="20" spans="1:8" ht="30" customHeight="1" x14ac:dyDescent="0.15">
      <c r="A20" s="419" t="s">
        <v>148</v>
      </c>
      <c r="B20" s="483" t="s">
        <v>102</v>
      </c>
      <c r="C20" s="484" t="s">
        <v>102</v>
      </c>
      <c r="D20" s="484" t="s">
        <v>103</v>
      </c>
      <c r="E20" s="421" t="s">
        <v>149</v>
      </c>
    </row>
    <row r="21" spans="1:8" ht="16" customHeight="1" thickBot="1" x14ac:dyDescent="0.2">
      <c r="A21" s="422"/>
      <c r="B21" s="418">
        <v>40999</v>
      </c>
      <c r="C21" s="392">
        <f>'Løntabel gældende fra'!C7</f>
        <v>43070</v>
      </c>
      <c r="D21" s="392">
        <f>'Løntabel gældende fra'!C7</f>
        <v>43070</v>
      </c>
      <c r="E21" s="475" t="s">
        <v>150</v>
      </c>
    </row>
    <row r="22" spans="1:8" ht="16" customHeight="1" thickBot="1" x14ac:dyDescent="0.2">
      <c r="A22" s="250" t="s">
        <v>153</v>
      </c>
      <c r="B22" s="442">
        <f>12*18700</f>
        <v>224400</v>
      </c>
      <c r="C22" s="254">
        <f>B22+(B22*'Løntabel gældende fra'!$D$7%)</f>
        <v>240036.8652</v>
      </c>
      <c r="D22" s="255">
        <f>C22/12</f>
        <v>20003.072100000001</v>
      </c>
      <c r="E22" s="540">
        <f>(D22*12)/1672*1</f>
        <v>143.56271842105264</v>
      </c>
      <c r="F22" s="246"/>
      <c r="G22" s="246"/>
    </row>
    <row r="23" spans="1:8" s="476" customFormat="1" ht="12" customHeight="1" thickBot="1" x14ac:dyDescent="0.2">
      <c r="A23" s="43"/>
      <c r="B23" s="300"/>
      <c r="C23" s="300"/>
      <c r="D23" s="300"/>
      <c r="E23" s="251"/>
      <c r="F23" s="477"/>
      <c r="G23" s="477"/>
    </row>
    <row r="24" spans="1:8" ht="19" thickBot="1" x14ac:dyDescent="0.2">
      <c r="A24" s="1099" t="s">
        <v>165</v>
      </c>
      <c r="B24" s="1100"/>
      <c r="C24" s="1100"/>
      <c r="D24" s="1100"/>
      <c r="E24" s="1110"/>
      <c r="F24" s="237"/>
      <c r="G24" s="237"/>
      <c r="H24" s="237"/>
    </row>
    <row r="25" spans="1:8" ht="31" customHeight="1" thickBot="1" x14ac:dyDescent="0.2">
      <c r="A25" s="1054" t="s">
        <v>148</v>
      </c>
      <c r="B25" s="1083" t="s">
        <v>21</v>
      </c>
      <c r="C25" s="485" t="s">
        <v>248</v>
      </c>
      <c r="D25" s="486">
        <v>0.17299999999999999</v>
      </c>
      <c r="E25" s="493"/>
      <c r="F25" s="487"/>
      <c r="G25" s="490"/>
      <c r="H25" s="491"/>
    </row>
    <row r="26" spans="1:8" ht="45" customHeight="1" thickBot="1" x14ac:dyDescent="0.2">
      <c r="A26" s="1094"/>
      <c r="B26" s="1121"/>
      <c r="C26" s="236" t="s">
        <v>22</v>
      </c>
      <c r="D26" s="489" t="s">
        <v>249</v>
      </c>
      <c r="E26" s="484" t="s">
        <v>23</v>
      </c>
      <c r="F26" s="1692"/>
      <c r="G26" s="1692"/>
      <c r="H26" s="492"/>
    </row>
    <row r="27" spans="1:8" ht="16" customHeight="1" x14ac:dyDescent="0.15">
      <c r="A27" s="429">
        <v>1</v>
      </c>
      <c r="B27" s="189">
        <f>E8</f>
        <v>24249.713610000003</v>
      </c>
      <c r="C27" s="189">
        <f>E27*1/3</f>
        <v>1398.4001515100001</v>
      </c>
      <c r="D27" s="417">
        <f>E27*2/3</f>
        <v>2796.8003030200002</v>
      </c>
      <c r="E27" s="189">
        <f>B27*$D$25</f>
        <v>4195.2004545300006</v>
      </c>
      <c r="F27" s="487"/>
      <c r="G27" s="488"/>
      <c r="H27" s="292"/>
    </row>
    <row r="28" spans="1:8" ht="16" customHeight="1" x14ac:dyDescent="0.15">
      <c r="A28" s="494">
        <v>2</v>
      </c>
      <c r="B28" s="211">
        <f>E9</f>
        <v>27062.979900000002</v>
      </c>
      <c r="C28" s="211">
        <f>E28*1/3</f>
        <v>1560.6318408999998</v>
      </c>
      <c r="D28" s="426">
        <f>E28*2/3</f>
        <v>3121.2636817999996</v>
      </c>
      <c r="E28" s="211">
        <f>B28*$D$25</f>
        <v>4681.8955226999997</v>
      </c>
      <c r="F28" s="487"/>
      <c r="G28" s="488"/>
      <c r="H28" s="292"/>
    </row>
    <row r="29" spans="1:8" ht="16" customHeight="1" x14ac:dyDescent="0.15">
      <c r="A29" s="494">
        <v>3</v>
      </c>
      <c r="B29" s="211">
        <f>E10</f>
        <v>29865.549360000001</v>
      </c>
      <c r="C29" s="211">
        <f>E29*1/3</f>
        <v>1722.24667976</v>
      </c>
      <c r="D29" s="426">
        <f>E29*2/3</f>
        <v>3444.49335952</v>
      </c>
      <c r="E29" s="211">
        <f>B29*$D$25</f>
        <v>5166.74003928</v>
      </c>
      <c r="F29" s="487"/>
      <c r="G29" s="488"/>
      <c r="H29" s="292"/>
    </row>
    <row r="30" spans="1:8" ht="16" customHeight="1" thickBot="1" x14ac:dyDescent="0.2">
      <c r="A30" s="431">
        <v>4</v>
      </c>
      <c r="B30" s="190">
        <f>E11</f>
        <v>31234.743600000002</v>
      </c>
      <c r="C30" s="190">
        <f>E30*1/3</f>
        <v>1801.2035476000001</v>
      </c>
      <c r="D30" s="424">
        <f>E30*2/3</f>
        <v>3602.4070952000002</v>
      </c>
      <c r="E30" s="190">
        <f>B30*$D$25</f>
        <v>5403.6106428000003</v>
      </c>
      <c r="F30" s="487"/>
      <c r="G30" s="488"/>
      <c r="H30" s="292"/>
    </row>
    <row r="31" spans="1:8" ht="12" customHeight="1" thickBot="1" x14ac:dyDescent="0.2">
      <c r="A31" s="43"/>
      <c r="B31" s="256"/>
      <c r="C31" s="256"/>
      <c r="D31" s="256"/>
      <c r="E31" s="251"/>
      <c r="F31" s="246"/>
      <c r="G31" s="246"/>
    </row>
    <row r="32" spans="1:8" ht="26.25" customHeight="1" thickBot="1" x14ac:dyDescent="0.2">
      <c r="A32" s="1693" t="s">
        <v>166</v>
      </c>
      <c r="B32" s="1694"/>
      <c r="C32" s="1694"/>
      <c r="D32" s="1694"/>
      <c r="E32" s="1695"/>
      <c r="F32" s="126" t="s">
        <v>94</v>
      </c>
      <c r="G32" s="246"/>
    </row>
    <row r="33" spans="1:8" ht="29" customHeight="1" thickBot="1" x14ac:dyDescent="0.2">
      <c r="A33" s="1073" t="s">
        <v>164</v>
      </c>
      <c r="B33" s="1074"/>
      <c r="C33" s="1074"/>
      <c r="D33" s="1074"/>
      <c r="E33" s="1687"/>
      <c r="F33" s="532">
        <v>160</v>
      </c>
      <c r="G33" s="246"/>
    </row>
    <row r="34" spans="1:8" ht="4.5" customHeight="1" x14ac:dyDescent="0.15">
      <c r="A34" s="481"/>
      <c r="B34" s="481"/>
      <c r="C34" s="481"/>
      <c r="D34" s="481"/>
      <c r="E34" s="481"/>
      <c r="F34" s="482"/>
      <c r="G34" s="246"/>
    </row>
    <row r="35" spans="1:8" s="275" customFormat="1" ht="28" customHeight="1" x14ac:dyDescent="0.15">
      <c r="A35" s="1689" t="s">
        <v>155</v>
      </c>
      <c r="B35" s="1689"/>
      <c r="C35" s="1689"/>
      <c r="D35" s="1689"/>
      <c r="E35" s="1689"/>
      <c r="F35" s="1689"/>
      <c r="G35" s="1689"/>
    </row>
    <row r="36" spans="1:8" s="275" customFormat="1" ht="30" customHeight="1" x14ac:dyDescent="0.15">
      <c r="A36" s="1690" t="s">
        <v>156</v>
      </c>
      <c r="B36" s="1690"/>
      <c r="C36" s="1690"/>
      <c r="D36" s="1690"/>
      <c r="E36" s="1690"/>
      <c r="F36" s="1690"/>
      <c r="G36" s="1690"/>
      <c r="H36" s="495"/>
    </row>
    <row r="37" spans="1:8" s="275" customFormat="1" ht="32.25" customHeight="1" x14ac:dyDescent="0.15">
      <c r="A37" s="1691" t="s">
        <v>157</v>
      </c>
      <c r="B37" s="1691"/>
      <c r="C37" s="1691"/>
      <c r="D37" s="1691"/>
      <c r="E37" s="1691"/>
      <c r="F37" s="1691"/>
      <c r="G37" s="1691"/>
    </row>
    <row r="38" spans="1:8" s="258" customFormat="1" x14ac:dyDescent="0.15">
      <c r="A38" s="257"/>
      <c r="B38" s="257"/>
      <c r="D38" s="259"/>
      <c r="F38" s="260"/>
      <c r="G38" s="260"/>
    </row>
    <row r="39" spans="1:8" s="258" customFormat="1" x14ac:dyDescent="0.15">
      <c r="A39" s="261"/>
      <c r="B39" s="261"/>
      <c r="D39" s="259"/>
      <c r="F39" s="260"/>
      <c r="G39" s="260"/>
    </row>
    <row r="40" spans="1:8" s="258" customFormat="1" x14ac:dyDescent="0.15">
      <c r="A40" s="261"/>
      <c r="B40" s="261"/>
      <c r="C40" s="262"/>
      <c r="D40" s="259"/>
      <c r="F40" s="260"/>
      <c r="G40" s="260"/>
    </row>
    <row r="41" spans="1:8" s="258" customFormat="1" x14ac:dyDescent="0.15">
      <c r="C41" s="263"/>
      <c r="D41" s="259"/>
      <c r="F41" s="260"/>
      <c r="G41" s="260"/>
    </row>
    <row r="42" spans="1:8" s="258" customFormat="1" x14ac:dyDescent="0.15">
      <c r="C42" s="263"/>
      <c r="D42" s="259"/>
      <c r="F42" s="260"/>
      <c r="G42" s="260"/>
    </row>
    <row r="43" spans="1:8" s="258" customFormat="1" x14ac:dyDescent="0.15">
      <c r="C43" s="263"/>
      <c r="D43" s="259"/>
      <c r="F43" s="260"/>
      <c r="G43" s="260"/>
    </row>
    <row r="44" spans="1:8" s="258" customFormat="1" x14ac:dyDescent="0.15">
      <c r="C44" s="264"/>
      <c r="D44" s="259"/>
      <c r="F44" s="260"/>
      <c r="G44" s="260"/>
    </row>
    <row r="45" spans="1:8" s="258" customFormat="1" x14ac:dyDescent="0.15">
      <c r="D45" s="259"/>
      <c r="F45" s="260"/>
      <c r="G45" s="260"/>
    </row>
  </sheetData>
  <sheetProtection password="CA9C" sheet="1" objects="1" scenarios="1"/>
  <mergeCells count="18">
    <mergeCell ref="A35:G35"/>
    <mergeCell ref="A36:G36"/>
    <mergeCell ref="A37:G37"/>
    <mergeCell ref="F26:G26"/>
    <mergeCell ref="B6:B7"/>
    <mergeCell ref="A32:E32"/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</mergeCells>
  <phoneticPr fontId="6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9"/>
  <sheetViews>
    <sheetView view="pageBreakPreview" zoomScaleNormal="125" zoomScaleSheetLayoutView="100" zoomScalePageLayoutView="125" workbookViewId="0">
      <selection activeCell="G10" sqref="G10:G11"/>
    </sheetView>
  </sheetViews>
  <sheetFormatPr baseColWidth="10" defaultColWidth="8.83203125" defaultRowHeight="13" x14ac:dyDescent="0.15"/>
  <cols>
    <col min="1" max="1" width="9" style="245" customWidth="1"/>
    <col min="2" max="2" width="11.6640625" style="245" customWidth="1"/>
    <col min="3" max="3" width="11.1640625" style="245" customWidth="1"/>
    <col min="4" max="4" width="11.33203125" style="245" customWidth="1"/>
    <col min="5" max="6" width="10.6640625" style="245" customWidth="1"/>
    <col min="7" max="7" width="10.1640625" style="245" customWidth="1"/>
    <col min="8" max="8" width="11.1640625" style="245" customWidth="1"/>
    <col min="9" max="9" width="11.33203125" style="245" customWidth="1"/>
    <col min="10" max="10" width="9.1640625" style="245" customWidth="1"/>
    <col min="11" max="16384" width="8.83203125" style="245"/>
  </cols>
  <sheetData>
    <row r="1" spans="1:16" ht="20" x14ac:dyDescent="0.2">
      <c r="A1" s="1118" t="s">
        <v>20</v>
      </c>
      <c r="B1" s="1119"/>
      <c r="C1" s="1119"/>
      <c r="D1" s="1119"/>
      <c r="E1" s="1119"/>
      <c r="F1" s="1119"/>
      <c r="G1" s="1119"/>
      <c r="H1" s="1119"/>
      <c r="I1" s="1119"/>
      <c r="J1" s="1120"/>
    </row>
    <row r="2" spans="1:16" ht="38" customHeight="1" x14ac:dyDescent="0.2">
      <c r="A2" s="1672" t="s">
        <v>203</v>
      </c>
      <c r="B2" s="1673"/>
      <c r="C2" s="1673"/>
      <c r="D2" s="1673"/>
      <c r="E2" s="1673"/>
      <c r="F2" s="1673"/>
      <c r="G2" s="1673"/>
      <c r="H2" s="1673"/>
      <c r="I2" s="1673"/>
      <c r="J2" s="1674"/>
    </row>
    <row r="3" spans="1:16" ht="20" x14ac:dyDescent="0.2">
      <c r="A3" s="1133" t="str">
        <f>'Forside 1'!A6:I6</f>
        <v>Gældende fra 1. april 2018</v>
      </c>
      <c r="B3" s="1134"/>
      <c r="C3" s="1134"/>
      <c r="D3" s="1134"/>
      <c r="E3" s="1134"/>
      <c r="F3" s="1134"/>
      <c r="G3" s="1134"/>
      <c r="H3" s="1134"/>
      <c r="I3" s="1134"/>
      <c r="J3" s="1135"/>
    </row>
    <row r="4" spans="1:16" ht="17" customHeight="1" x14ac:dyDescent="0.15">
      <c r="A4" s="1709" t="s">
        <v>371</v>
      </c>
      <c r="B4" s="1710"/>
      <c r="C4" s="1710"/>
      <c r="D4" s="1710"/>
      <c r="E4" s="1710"/>
      <c r="F4" s="1710"/>
      <c r="G4" s="1710"/>
      <c r="H4" s="1710"/>
      <c r="I4" s="1710"/>
      <c r="J4" s="1711"/>
    </row>
    <row r="5" spans="1:16" ht="8" customHeight="1" x14ac:dyDescent="0.15">
      <c r="A5" s="1709" t="s">
        <v>387</v>
      </c>
      <c r="B5" s="1710"/>
      <c r="C5" s="1710"/>
      <c r="D5" s="1710"/>
      <c r="E5" s="1710"/>
      <c r="F5" s="1710"/>
      <c r="G5" s="1710"/>
      <c r="H5" s="1710"/>
      <c r="I5" s="1710"/>
      <c r="J5" s="1711"/>
      <c r="L5" s="276"/>
      <c r="M5" s="275"/>
      <c r="N5" s="275"/>
      <c r="O5" s="275"/>
      <c r="P5" s="275"/>
    </row>
    <row r="6" spans="1:16" ht="7" customHeight="1" thickBot="1" x14ac:dyDescent="0.2">
      <c r="A6" s="1712"/>
      <c r="B6" s="1713"/>
      <c r="C6" s="1713"/>
      <c r="D6" s="1713"/>
      <c r="E6" s="1713"/>
      <c r="F6" s="1713"/>
      <c r="G6" s="1713"/>
      <c r="H6" s="1713"/>
      <c r="I6" s="1713"/>
      <c r="J6" s="1714"/>
      <c r="L6" s="276"/>
      <c r="M6" s="275"/>
      <c r="N6" s="275"/>
      <c r="O6" s="275"/>
      <c r="P6" s="275"/>
    </row>
    <row r="7" spans="1:16" s="476" customFormat="1" ht="18" customHeight="1" thickBot="1" x14ac:dyDescent="0.2">
      <c r="A7" s="686"/>
      <c r="B7" s="686"/>
      <c r="C7" s="686"/>
      <c r="D7" s="686"/>
      <c r="E7" s="686"/>
      <c r="F7" s="686"/>
      <c r="G7" s="687"/>
      <c r="H7" s="687"/>
      <c r="I7" s="687"/>
      <c r="J7" s="687"/>
      <c r="L7" s="688"/>
      <c r="M7" s="689"/>
      <c r="N7" s="689"/>
      <c r="O7" s="689"/>
      <c r="P7" s="689"/>
    </row>
    <row r="8" spans="1:16" ht="21" customHeight="1" thickBot="1" x14ac:dyDescent="0.25">
      <c r="A8" s="1678" t="s">
        <v>340</v>
      </c>
      <c r="B8" s="1679"/>
      <c r="C8" s="1679"/>
      <c r="D8" s="1679"/>
      <c r="E8" s="1679"/>
      <c r="F8" s="1680"/>
      <c r="G8" s="1675" t="s">
        <v>181</v>
      </c>
      <c r="H8" s="1676"/>
      <c r="I8" s="1676"/>
      <c r="J8" s="1677"/>
      <c r="L8" s="276"/>
      <c r="M8" s="275"/>
      <c r="N8" s="275"/>
      <c r="O8" s="275"/>
      <c r="P8" s="275"/>
    </row>
    <row r="9" spans="1:16" ht="39" x14ac:dyDescent="0.15">
      <c r="A9" s="525" t="s">
        <v>58</v>
      </c>
      <c r="B9" s="525" t="s">
        <v>77</v>
      </c>
      <c r="C9" s="528" t="s">
        <v>78</v>
      </c>
      <c r="D9" s="525" t="s">
        <v>79</v>
      </c>
      <c r="E9" s="525" t="s">
        <v>80</v>
      </c>
      <c r="F9" s="525" t="s">
        <v>81</v>
      </c>
      <c r="G9" s="529" t="s">
        <v>198</v>
      </c>
      <c r="H9" s="530" t="s">
        <v>200</v>
      </c>
      <c r="I9" s="530" t="s">
        <v>201</v>
      </c>
      <c r="J9" s="531">
        <v>0.14000000000000001</v>
      </c>
    </row>
    <row r="10" spans="1:16" ht="16" customHeight="1" x14ac:dyDescent="0.15">
      <c r="A10" s="328">
        <v>14</v>
      </c>
      <c r="B10" s="810">
        <f>'Statens skalatrin'!D46</f>
        <v>20289.330000000002</v>
      </c>
      <c r="C10" s="810">
        <f>'Statens skalatrin'!F46</f>
        <v>20711.830000000002</v>
      </c>
      <c r="D10" s="810">
        <f>'Statens skalatrin'!H46</f>
        <v>21004.33</v>
      </c>
      <c r="E10" s="810">
        <f>'Statens skalatrin'!J46</f>
        <v>21426.75</v>
      </c>
      <c r="F10" s="810">
        <f>'Statens skalatrin'!L46</f>
        <v>21719.17</v>
      </c>
      <c r="G10" s="1696">
        <f>'Statens skalatrin'!O46</f>
        <v>18969.87</v>
      </c>
      <c r="H10" s="1698">
        <f>J10*1/3</f>
        <v>885.26060000000007</v>
      </c>
      <c r="I10" s="1696">
        <f>J10*2/3</f>
        <v>1770.5212000000001</v>
      </c>
      <c r="J10" s="1696">
        <f>G10*$J$9</f>
        <v>2655.7818000000002</v>
      </c>
    </row>
    <row r="11" spans="1:16" ht="16" customHeight="1" x14ac:dyDescent="0.15">
      <c r="A11" s="435" t="s">
        <v>246</v>
      </c>
      <c r="B11" s="579">
        <f>B10+(F24/12)</f>
        <v>20463.777469250002</v>
      </c>
      <c r="C11" s="579">
        <f>C10+(F24/12)</f>
        <v>20886.277469250002</v>
      </c>
      <c r="D11" s="579">
        <f>D10+(F24/12)</f>
        <v>21178.777469250002</v>
      </c>
      <c r="E11" s="579">
        <f>E10+(F24/12)</f>
        <v>21601.197469250001</v>
      </c>
      <c r="F11" s="579">
        <f>F10+(F24/12)</f>
        <v>21893.617469249999</v>
      </c>
      <c r="G11" s="1697"/>
      <c r="H11" s="1699"/>
      <c r="I11" s="1697"/>
      <c r="J11" s="1697"/>
    </row>
    <row r="12" spans="1:16" ht="16" customHeight="1" x14ac:dyDescent="0.15">
      <c r="A12" s="328">
        <v>17</v>
      </c>
      <c r="B12" s="579">
        <f>'Statens skalatrin'!D55</f>
        <v>21305</v>
      </c>
      <c r="C12" s="579">
        <f>'Statens skalatrin'!F55</f>
        <v>21760.42</v>
      </c>
      <c r="D12" s="811">
        <f>'Statens skalatrin'!H55</f>
        <v>22075.67</v>
      </c>
      <c r="E12" s="579">
        <f>'Statens skalatrin'!J55</f>
        <v>22531</v>
      </c>
      <c r="F12" s="579">
        <f>'Statens skalatrin'!L55</f>
        <v>22846.080000000002</v>
      </c>
      <c r="G12" s="812">
        <f>'Statens skalatrin'!O55</f>
        <v>20009.669999999998</v>
      </c>
      <c r="H12" s="813">
        <f>J12*1/3</f>
        <v>933.78459999999995</v>
      </c>
      <c r="I12" s="810">
        <f>J12*2/3</f>
        <v>1867.5691999999999</v>
      </c>
      <c r="J12" s="810">
        <f>G12*$J$9</f>
        <v>2801.3537999999999</v>
      </c>
    </row>
    <row r="13" spans="1:16" ht="16" customHeight="1" x14ac:dyDescent="0.15">
      <c r="A13" s="328">
        <v>20</v>
      </c>
      <c r="B13" s="579">
        <f>'Statens skalatrin'!D64</f>
        <v>22289.75</v>
      </c>
      <c r="C13" s="579">
        <f>'Statens skalatrin'!F64</f>
        <v>22780.67</v>
      </c>
      <c r="D13" s="811">
        <f>'Statens skalatrin'!H64</f>
        <v>23120.67</v>
      </c>
      <c r="E13" s="579">
        <f>'Statens skalatrin'!J64</f>
        <v>23611.67</v>
      </c>
      <c r="F13" s="579">
        <f>'Statens skalatrin'!L64</f>
        <v>23951.42</v>
      </c>
      <c r="G13" s="1696">
        <f>'Statens skalatrin'!O64</f>
        <v>21137.79</v>
      </c>
      <c r="H13" s="1698">
        <f>J13*1/3</f>
        <v>986.43020000000013</v>
      </c>
      <c r="I13" s="1696">
        <f>J13*2/3</f>
        <v>1972.8604000000003</v>
      </c>
      <c r="J13" s="1696">
        <f>G13*$J$9</f>
        <v>2959.2906000000003</v>
      </c>
    </row>
    <row r="14" spans="1:16" ht="16" customHeight="1" thickBot="1" x14ac:dyDescent="0.2">
      <c r="A14" s="329" t="s">
        <v>182</v>
      </c>
      <c r="B14" s="580">
        <f>B13+(F25/12)</f>
        <v>22339.133698500002</v>
      </c>
      <c r="C14" s="580">
        <f>C13+(F25/12)</f>
        <v>22830.0536985</v>
      </c>
      <c r="D14" s="814">
        <f>D13+(F25/12)</f>
        <v>23170.0536985</v>
      </c>
      <c r="E14" s="580">
        <f>E13+(F25/12)</f>
        <v>23661.0536985</v>
      </c>
      <c r="F14" s="580">
        <f>F13+(F25/12)</f>
        <v>24000.8036985</v>
      </c>
      <c r="G14" s="1700"/>
      <c r="H14" s="1701"/>
      <c r="I14" s="1700"/>
      <c r="J14" s="1700"/>
    </row>
    <row r="15" spans="1:16" ht="17" customHeight="1" thickBot="1" x14ac:dyDescent="0.2">
      <c r="A15" s="275"/>
      <c r="B15" s="269"/>
      <c r="C15" s="269"/>
      <c r="D15" s="269"/>
      <c r="E15" s="269"/>
      <c r="F15" s="269"/>
      <c r="G15" s="293"/>
      <c r="H15" s="294"/>
      <c r="I15" s="295"/>
      <c r="J15" s="295"/>
    </row>
    <row r="16" spans="1:16" ht="21" customHeight="1" thickBot="1" x14ac:dyDescent="0.25">
      <c r="A16" s="1675" t="s">
        <v>341</v>
      </c>
      <c r="B16" s="1676"/>
      <c r="C16" s="1676"/>
      <c r="D16" s="1676"/>
      <c r="E16" s="1676"/>
      <c r="F16" s="1677"/>
      <c r="G16" s="275"/>
      <c r="H16" s="275"/>
      <c r="I16" s="275"/>
      <c r="J16" s="265"/>
      <c r="L16" s="292"/>
    </row>
    <row r="17" spans="1:12" ht="16" customHeight="1" thickBot="1" x14ac:dyDescent="0.2">
      <c r="A17" s="1702" t="s">
        <v>184</v>
      </c>
      <c r="B17" s="1703"/>
      <c r="C17" s="1703"/>
      <c r="D17" s="1703"/>
      <c r="E17" s="1703"/>
      <c r="F17" s="1704"/>
      <c r="G17" s="275"/>
      <c r="H17" s="275"/>
      <c r="I17" s="275"/>
      <c r="J17" s="265"/>
      <c r="L17" s="292"/>
    </row>
    <row r="18" spans="1:12" ht="16" customHeight="1" x14ac:dyDescent="0.15">
      <c r="A18" s="525" t="s">
        <v>58</v>
      </c>
      <c r="B18" s="526" t="s">
        <v>77</v>
      </c>
      <c r="C18" s="525" t="s">
        <v>78</v>
      </c>
      <c r="D18" s="526" t="s">
        <v>79</v>
      </c>
      <c r="E18" s="525" t="s">
        <v>80</v>
      </c>
      <c r="F18" s="527" t="s">
        <v>81</v>
      </c>
      <c r="G18" s="275"/>
      <c r="H18" s="275"/>
      <c r="I18" s="275"/>
      <c r="J18" s="265"/>
    </row>
    <row r="19" spans="1:12" ht="16" customHeight="1" thickBot="1" x14ac:dyDescent="0.2">
      <c r="A19" s="333">
        <v>14</v>
      </c>
      <c r="B19" s="807">
        <f>B11*12/1924</f>
        <v>127.63270770841997</v>
      </c>
      <c r="C19" s="808">
        <f>C11*12/1924</f>
        <v>130.26784284355512</v>
      </c>
      <c r="D19" s="807">
        <f>D11*12/1924</f>
        <v>132.09216716787944</v>
      </c>
      <c r="E19" s="808">
        <f>E11*12/1924</f>
        <v>134.72680334251561</v>
      </c>
      <c r="F19" s="809">
        <f>F11*12/1924</f>
        <v>136.55062870634097</v>
      </c>
      <c r="G19" s="275"/>
      <c r="H19" s="274"/>
      <c r="I19" s="274"/>
      <c r="J19" s="265"/>
    </row>
    <row r="20" spans="1:12" ht="15" customHeight="1" thickBot="1" x14ac:dyDescent="0.2">
      <c r="A20" s="284"/>
      <c r="B20" s="283"/>
      <c r="C20" s="283"/>
      <c r="D20" s="283"/>
      <c r="E20" s="283"/>
      <c r="F20" s="283"/>
      <c r="G20" s="275"/>
      <c r="H20" s="274"/>
      <c r="I20" s="274"/>
      <c r="J20" s="265"/>
    </row>
    <row r="21" spans="1:12" ht="21" customHeight="1" thickBot="1" x14ac:dyDescent="0.2">
      <c r="A21" s="1099" t="s">
        <v>176</v>
      </c>
      <c r="B21" s="1100"/>
      <c r="C21" s="1100"/>
      <c r="D21" s="1100"/>
      <c r="E21" s="1100"/>
      <c r="F21" s="1110"/>
      <c r="G21" s="237"/>
      <c r="H21" s="237"/>
      <c r="I21" s="237"/>
      <c r="J21" s="265"/>
    </row>
    <row r="22" spans="1:12" ht="27" customHeight="1" x14ac:dyDescent="0.15">
      <c r="A22" s="1707" t="s">
        <v>372</v>
      </c>
      <c r="B22" s="1708"/>
      <c r="C22" s="1708"/>
      <c r="D22" s="1708"/>
      <c r="E22" s="798" t="s">
        <v>138</v>
      </c>
      <c r="F22" s="799" t="s">
        <v>398</v>
      </c>
      <c r="G22" s="286"/>
      <c r="H22" s="275"/>
      <c r="I22" s="275"/>
      <c r="J22" s="265"/>
    </row>
    <row r="23" spans="1:12" ht="15" customHeight="1" x14ac:dyDescent="0.15">
      <c r="A23" s="1652"/>
      <c r="B23" s="1653"/>
      <c r="C23" s="1653"/>
      <c r="D23" s="1653"/>
      <c r="E23" s="690">
        <v>40999</v>
      </c>
      <c r="F23" s="692" t="str">
        <f>'Løntabel gældende fra'!D1</f>
        <v>01/04/2018</v>
      </c>
      <c r="G23" s="286"/>
      <c r="H23" s="275"/>
      <c r="I23" s="275"/>
      <c r="J23" s="265"/>
    </row>
    <row r="24" spans="1:12" ht="16" customHeight="1" x14ac:dyDescent="0.15">
      <c r="A24" s="1662" t="s">
        <v>245</v>
      </c>
      <c r="B24" s="1663"/>
      <c r="C24" s="1663"/>
      <c r="D24" s="1705"/>
      <c r="E24" s="652">
        <v>1957</v>
      </c>
      <c r="F24" s="653">
        <f>E24+(E24*'Løntabel gældende fra'!$D$7%)</f>
        <v>2093.369631</v>
      </c>
      <c r="G24" s="286"/>
      <c r="H24" s="275"/>
      <c r="I24" s="275"/>
      <c r="J24" s="265"/>
    </row>
    <row r="25" spans="1:12" ht="16" customHeight="1" thickBot="1" x14ac:dyDescent="0.2">
      <c r="A25" s="1655" t="s">
        <v>196</v>
      </c>
      <c r="B25" s="1656"/>
      <c r="C25" s="1656"/>
      <c r="D25" s="1706"/>
      <c r="E25" s="654">
        <v>554</v>
      </c>
      <c r="F25" s="655">
        <f>E25+(E25*'Løntabel gældende fra'!$D$7%)</f>
        <v>592.60438199999999</v>
      </c>
      <c r="G25" s="286"/>
      <c r="H25" s="275"/>
      <c r="I25" s="275"/>
      <c r="J25" s="265"/>
    </row>
    <row r="26" spans="1:12" ht="15" customHeight="1" thickBot="1" x14ac:dyDescent="0.2">
      <c r="A26" s="831"/>
      <c r="B26" s="283"/>
      <c r="C26" s="283"/>
      <c r="D26" s="283"/>
      <c r="E26" s="283"/>
      <c r="F26" s="283"/>
      <c r="G26" s="275"/>
      <c r="H26" s="275"/>
      <c r="I26" s="275"/>
      <c r="J26" s="265"/>
    </row>
    <row r="27" spans="1:12" ht="20" customHeight="1" x14ac:dyDescent="0.15">
      <c r="A27" s="1076" t="s">
        <v>185</v>
      </c>
      <c r="B27" s="1077"/>
      <c r="C27" s="1077"/>
      <c r="D27" s="1077"/>
      <c r="E27" s="1077"/>
      <c r="F27" s="1077"/>
      <c r="G27" s="1077"/>
      <c r="H27" s="1077"/>
      <c r="I27" s="1078"/>
      <c r="J27" s="265"/>
    </row>
    <row r="28" spans="1:12" ht="20" customHeight="1" thickBot="1" x14ac:dyDescent="0.2">
      <c r="A28" s="1167" t="s">
        <v>351</v>
      </c>
      <c r="B28" s="1168"/>
      <c r="C28" s="1168"/>
      <c r="D28" s="1168"/>
      <c r="E28" s="1168"/>
      <c r="F28" s="1168"/>
      <c r="G28" s="1168"/>
      <c r="H28" s="1168"/>
      <c r="I28" s="1169"/>
      <c r="J28" s="265"/>
    </row>
    <row r="29" spans="1:12" ht="27" customHeight="1" thickBot="1" x14ac:dyDescent="0.2">
      <c r="A29" s="1722"/>
      <c r="B29" s="1723"/>
      <c r="C29" s="1723"/>
      <c r="D29" s="1723"/>
      <c r="E29" s="1723"/>
      <c r="F29" s="1723"/>
      <c r="G29" s="1723"/>
      <c r="H29" s="798" t="s">
        <v>399</v>
      </c>
      <c r="I29" s="801" t="s">
        <v>400</v>
      </c>
      <c r="J29" s="265"/>
    </row>
    <row r="30" spans="1:12" ht="15" customHeight="1" thickBot="1" x14ac:dyDescent="0.2">
      <c r="A30" s="1659"/>
      <c r="B30" s="1660"/>
      <c r="C30" s="1660"/>
      <c r="D30" s="1660"/>
      <c r="E30" s="1660"/>
      <c r="F30" s="1660"/>
      <c r="G30" s="1661"/>
      <c r="H30" s="694">
        <v>40999</v>
      </c>
      <c r="I30" s="695" t="str">
        <f>'Løntabel gældende fra'!D1</f>
        <v>01/04/2018</v>
      </c>
      <c r="J30" s="265"/>
    </row>
    <row r="31" spans="1:12" ht="15" customHeight="1" x14ac:dyDescent="0.15">
      <c r="A31" s="1662" t="s">
        <v>186</v>
      </c>
      <c r="B31" s="1663"/>
      <c r="C31" s="1663"/>
      <c r="D31" s="1663"/>
      <c r="E31" s="1663"/>
      <c r="F31" s="270"/>
      <c r="G31" s="272" t="s">
        <v>178</v>
      </c>
      <c r="H31" s="335">
        <v>22.32</v>
      </c>
      <c r="I31" s="336">
        <f>H31+(H31*'Løntabel gældende fra'!$D$7%)</f>
        <v>23.875324559999999</v>
      </c>
      <c r="J31" s="265"/>
    </row>
    <row r="32" spans="1:12" ht="15" customHeight="1" x14ac:dyDescent="0.15">
      <c r="A32" s="1670" t="s">
        <v>187</v>
      </c>
      <c r="B32" s="1671"/>
      <c r="C32" s="1671"/>
      <c r="D32" s="1671"/>
      <c r="E32" s="1671"/>
      <c r="F32" s="648"/>
      <c r="G32" s="273" t="s">
        <v>178</v>
      </c>
      <c r="H32" s="337">
        <v>39.92</v>
      </c>
      <c r="I32" s="336">
        <f>H32+(H32*'Løntabel gældende fra'!$D$7%)</f>
        <v>42.701745360000004</v>
      </c>
      <c r="J32" s="265"/>
    </row>
    <row r="33" spans="1:10" ht="26" customHeight="1" x14ac:dyDescent="0.15">
      <c r="A33" s="1662" t="s">
        <v>188</v>
      </c>
      <c r="B33" s="1663"/>
      <c r="C33" s="1663"/>
      <c r="D33" s="1663"/>
      <c r="E33" s="1663"/>
      <c r="F33" s="1663"/>
      <c r="G33" s="273" t="s">
        <v>178</v>
      </c>
      <c r="H33" s="337">
        <v>39.92</v>
      </c>
      <c r="I33" s="336">
        <f>H33+(H33*'Løntabel gældende fra'!$D$7%)</f>
        <v>42.701745360000004</v>
      </c>
      <c r="J33" s="265"/>
    </row>
    <row r="34" spans="1:10" ht="15" customHeight="1" thickBot="1" x14ac:dyDescent="0.2">
      <c r="A34" s="304" t="s">
        <v>177</v>
      </c>
      <c r="B34" s="303"/>
      <c r="C34" s="303"/>
      <c r="D34" s="303"/>
      <c r="E34" s="287"/>
      <c r="F34" s="287"/>
      <c r="G34" s="298" t="s">
        <v>178</v>
      </c>
      <c r="H34" s="339">
        <v>39.92</v>
      </c>
      <c r="I34" s="334">
        <f>H34+(H34*'Løntabel gældende fra'!$D$7%)</f>
        <v>42.701745360000004</v>
      </c>
      <c r="J34" s="265"/>
    </row>
    <row r="35" spans="1:10" ht="15" customHeight="1" thickBot="1" x14ac:dyDescent="0.2">
      <c r="A35" s="297"/>
      <c r="B35" s="297"/>
      <c r="C35" s="297"/>
      <c r="D35" s="297"/>
      <c r="E35" s="297"/>
      <c r="F35" s="297"/>
      <c r="G35" s="297"/>
      <c r="H35" s="256"/>
      <c r="I35" s="296"/>
      <c r="J35" s="265"/>
    </row>
    <row r="36" spans="1:10" ht="21" customHeight="1" x14ac:dyDescent="0.15">
      <c r="A36" s="1076" t="s">
        <v>373</v>
      </c>
      <c r="B36" s="1077"/>
      <c r="C36" s="1077"/>
      <c r="D36" s="1077"/>
      <c r="E36" s="1077"/>
      <c r="F36" s="1077"/>
      <c r="G36" s="1077"/>
      <c r="H36" s="1077"/>
      <c r="I36" s="1078"/>
      <c r="J36" s="275"/>
    </row>
    <row r="37" spans="1:10" ht="21" customHeight="1" thickBot="1" x14ac:dyDescent="0.2">
      <c r="A37" s="1167" t="s">
        <v>345</v>
      </c>
      <c r="B37" s="1168"/>
      <c r="C37" s="1168"/>
      <c r="D37" s="1168"/>
      <c r="E37" s="1168"/>
      <c r="F37" s="1168"/>
      <c r="G37" s="1168"/>
      <c r="H37" s="1168"/>
      <c r="I37" s="1169"/>
      <c r="J37" s="275"/>
    </row>
    <row r="38" spans="1:10" ht="27" customHeight="1" thickBot="1" x14ac:dyDescent="0.2">
      <c r="A38" s="1724"/>
      <c r="B38" s="1725"/>
      <c r="C38" s="1725"/>
      <c r="D38" s="1725"/>
      <c r="E38" s="1725"/>
      <c r="F38" s="1725"/>
      <c r="G38" s="1726"/>
      <c r="H38" s="798" t="s">
        <v>399</v>
      </c>
      <c r="I38" s="801" t="s">
        <v>400</v>
      </c>
      <c r="J38" s="275"/>
    </row>
    <row r="39" spans="1:10" ht="15" customHeight="1" thickBot="1" x14ac:dyDescent="0.2">
      <c r="A39" s="1724"/>
      <c r="B39" s="1725"/>
      <c r="C39" s="1725"/>
      <c r="D39" s="1725"/>
      <c r="E39" s="1725"/>
      <c r="F39" s="1725"/>
      <c r="G39" s="1726"/>
      <c r="H39" s="694">
        <v>40999</v>
      </c>
      <c r="I39" s="695" t="str">
        <f>'Løntabel gældende fra'!D1</f>
        <v>01/04/2018</v>
      </c>
      <c r="J39" s="275"/>
    </row>
    <row r="40" spans="1:10" ht="15" customHeight="1" thickBot="1" x14ac:dyDescent="0.2">
      <c r="A40" s="1217" t="s">
        <v>190</v>
      </c>
      <c r="B40" s="1218"/>
      <c r="C40" s="1218"/>
      <c r="D40" s="1218"/>
      <c r="E40" s="1218"/>
      <c r="F40" s="696"/>
      <c r="G40" s="697" t="s">
        <v>178</v>
      </c>
      <c r="H40" s="341">
        <v>6.88</v>
      </c>
      <c r="I40" s="334">
        <f>H40+(H40*'Løntabel gældende fra'!D7%)</f>
        <v>7.3594190399999997</v>
      </c>
      <c r="J40" s="275"/>
    </row>
    <row r="41" spans="1:10" ht="15" customHeight="1" thickBot="1" x14ac:dyDescent="0.2">
      <c r="A41" s="1721"/>
      <c r="B41" s="1721"/>
      <c r="C41" s="1721"/>
      <c r="D41" s="1721"/>
      <c r="E41" s="1721"/>
      <c r="F41" s="1721"/>
      <c r="G41" s="1721"/>
      <c r="H41" s="1721"/>
      <c r="I41" s="1721"/>
      <c r="J41" s="275"/>
    </row>
    <row r="42" spans="1:10" ht="21" customHeight="1" x14ac:dyDescent="0.15">
      <c r="A42" s="1076" t="s">
        <v>191</v>
      </c>
      <c r="B42" s="1077"/>
      <c r="C42" s="1077"/>
      <c r="D42" s="1077"/>
      <c r="E42" s="1077"/>
      <c r="F42" s="1077"/>
      <c r="G42" s="1077"/>
      <c r="H42" s="1077"/>
      <c r="I42" s="1078"/>
      <c r="J42" s="275"/>
    </row>
    <row r="43" spans="1:10" ht="21" customHeight="1" thickBot="1" x14ac:dyDescent="0.2">
      <c r="A43" s="1167" t="s">
        <v>351</v>
      </c>
      <c r="B43" s="1168"/>
      <c r="C43" s="1168"/>
      <c r="D43" s="1168"/>
      <c r="E43" s="1168"/>
      <c r="F43" s="1168"/>
      <c r="G43" s="1168"/>
      <c r="H43" s="1168"/>
      <c r="I43" s="1169"/>
      <c r="J43" s="275"/>
    </row>
    <row r="44" spans="1:10" ht="30" customHeight="1" x14ac:dyDescent="0.15">
      <c r="A44" s="1715"/>
      <c r="B44" s="1716"/>
      <c r="C44" s="1716"/>
      <c r="D44" s="1716"/>
      <c r="E44" s="1716"/>
      <c r="F44" s="1716"/>
      <c r="G44" s="1717"/>
      <c r="H44" s="798" t="s">
        <v>138</v>
      </c>
      <c r="I44" s="799" t="s">
        <v>398</v>
      </c>
      <c r="J44" s="275"/>
    </row>
    <row r="45" spans="1:10" ht="15" customHeight="1" thickBot="1" x14ac:dyDescent="0.2">
      <c r="A45" s="1718"/>
      <c r="B45" s="1719"/>
      <c r="C45" s="1719"/>
      <c r="D45" s="1719"/>
      <c r="E45" s="1719"/>
      <c r="F45" s="1719"/>
      <c r="G45" s="1720"/>
      <c r="H45" s="694">
        <v>40999</v>
      </c>
      <c r="I45" s="695" t="str">
        <f>'Løntabel gældende fra'!D1</f>
        <v>01/04/2018</v>
      </c>
      <c r="J45" s="275"/>
    </row>
    <row r="46" spans="1:10" ht="15" customHeight="1" thickBot="1" x14ac:dyDescent="0.2">
      <c r="A46" s="1217" t="s">
        <v>204</v>
      </c>
      <c r="B46" s="1218"/>
      <c r="C46" s="1218"/>
      <c r="D46" s="1218"/>
      <c r="E46" s="1218"/>
      <c r="F46" s="696"/>
      <c r="G46" s="697"/>
      <c r="H46" s="341">
        <v>655</v>
      </c>
      <c r="I46" s="334">
        <f>H46+(H46*'Løntabel gældende fra'!D7%)</f>
        <v>700.64236500000004</v>
      </c>
      <c r="J46" s="275"/>
    </row>
    <row r="47" spans="1:10" ht="15" customHeight="1" thickBot="1" x14ac:dyDescent="0.2">
      <c r="A47" s="265"/>
      <c r="B47" s="265"/>
      <c r="C47" s="265"/>
      <c r="D47" s="265"/>
      <c r="E47" s="265"/>
      <c r="F47" s="266"/>
      <c r="G47" s="265"/>
      <c r="H47" s="266"/>
      <c r="I47" s="265"/>
      <c r="J47" s="275"/>
    </row>
    <row r="48" spans="1:10" ht="21" customHeight="1" x14ac:dyDescent="0.15">
      <c r="A48" s="1076" t="s">
        <v>374</v>
      </c>
      <c r="B48" s="1077"/>
      <c r="C48" s="1077"/>
      <c r="D48" s="1077"/>
      <c r="E48" s="1077"/>
      <c r="F48" s="1077"/>
      <c r="G48" s="1077"/>
      <c r="H48" s="1077"/>
      <c r="I48" s="1078"/>
      <c r="J48" s="275"/>
    </row>
    <row r="49" spans="1:10" ht="21" customHeight="1" thickBot="1" x14ac:dyDescent="0.2">
      <c r="A49" s="1167" t="s">
        <v>345</v>
      </c>
      <c r="B49" s="1168"/>
      <c r="C49" s="1168"/>
      <c r="D49" s="1168"/>
      <c r="E49" s="1168"/>
      <c r="F49" s="1168"/>
      <c r="G49" s="1168"/>
      <c r="H49" s="1168"/>
      <c r="I49" s="1169"/>
      <c r="J49" s="275"/>
    </row>
    <row r="50" spans="1:10" ht="15" customHeight="1" x14ac:dyDescent="0.15">
      <c r="A50" s="1707" t="s">
        <v>194</v>
      </c>
      <c r="B50" s="1708"/>
      <c r="C50" s="1708"/>
      <c r="D50" s="1708"/>
      <c r="E50" s="1708"/>
      <c r="F50" s="1708"/>
      <c r="G50" s="1727"/>
      <c r="H50" s="691" t="s">
        <v>100</v>
      </c>
      <c r="I50" s="693" t="s">
        <v>105</v>
      </c>
      <c r="J50" s="275"/>
    </row>
    <row r="51" spans="1:10" ht="15" customHeight="1" thickBot="1" x14ac:dyDescent="0.2">
      <c r="A51" s="1652"/>
      <c r="B51" s="1653"/>
      <c r="C51" s="1653"/>
      <c r="D51" s="1653"/>
      <c r="E51" s="1653"/>
      <c r="F51" s="1653"/>
      <c r="G51" s="1654"/>
      <c r="H51" s="694">
        <v>40999</v>
      </c>
      <c r="I51" s="695" t="str">
        <f>'Løntabel gældende fra'!D1</f>
        <v>01/04/2018</v>
      </c>
      <c r="J51" s="275"/>
    </row>
    <row r="52" spans="1:10" ht="15" customHeight="1" thickBot="1" x14ac:dyDescent="0.2">
      <c r="A52" s="1655" t="s">
        <v>193</v>
      </c>
      <c r="B52" s="1656"/>
      <c r="C52" s="1656"/>
      <c r="D52" s="1656"/>
      <c r="E52" s="1656"/>
      <c r="F52" s="271"/>
      <c r="G52" s="282"/>
      <c r="H52" s="341">
        <v>0</v>
      </c>
      <c r="I52" s="334">
        <v>0</v>
      </c>
      <c r="J52" s="275"/>
    </row>
    <row r="53" spans="1:10" ht="15" customHeight="1" thickBot="1" x14ac:dyDescent="0.2">
      <c r="A53" s="265"/>
      <c r="B53" s="265"/>
      <c r="C53" s="265"/>
      <c r="D53" s="265"/>
      <c r="E53" s="265"/>
      <c r="F53" s="266"/>
      <c r="G53" s="265"/>
      <c r="H53" s="266"/>
      <c r="I53" s="265"/>
      <c r="J53" s="275"/>
    </row>
    <row r="54" spans="1:10" s="275" customFormat="1" ht="18" x14ac:dyDescent="0.15">
      <c r="A54" s="1076" t="s">
        <v>375</v>
      </c>
      <c r="B54" s="1077"/>
      <c r="C54" s="1077"/>
      <c r="D54" s="1077"/>
      <c r="E54" s="1077"/>
      <c r="F54" s="1077"/>
      <c r="G54" s="1077"/>
      <c r="H54" s="1077"/>
      <c r="I54" s="1078"/>
    </row>
    <row r="55" spans="1:10" s="275" customFormat="1" ht="17" thickBot="1" x14ac:dyDescent="0.2">
      <c r="A55" s="1167" t="s">
        <v>345</v>
      </c>
      <c r="B55" s="1168"/>
      <c r="C55" s="1168"/>
      <c r="D55" s="1168"/>
      <c r="E55" s="1168"/>
      <c r="F55" s="1168"/>
      <c r="G55" s="1168"/>
      <c r="H55" s="1168"/>
      <c r="I55" s="1169"/>
    </row>
    <row r="56" spans="1:10" s="275" customFormat="1" ht="26" x14ac:dyDescent="0.15">
      <c r="A56" s="1214"/>
      <c r="B56" s="1215"/>
      <c r="C56" s="1215"/>
      <c r="D56" s="1215"/>
      <c r="E56" s="1215"/>
      <c r="F56" s="1215"/>
      <c r="G56" s="1216"/>
      <c r="H56" s="798" t="s">
        <v>138</v>
      </c>
      <c r="I56" s="799" t="s">
        <v>398</v>
      </c>
    </row>
    <row r="57" spans="1:10" s="275" customFormat="1" ht="15" thickBot="1" x14ac:dyDescent="0.2">
      <c r="A57" s="1707"/>
      <c r="B57" s="1708"/>
      <c r="C57" s="1708"/>
      <c r="D57" s="1708"/>
      <c r="E57" s="1708"/>
      <c r="F57" s="1708"/>
      <c r="G57" s="1727"/>
      <c r="H57" s="694">
        <v>40999</v>
      </c>
      <c r="I57" s="695" t="str">
        <f>'Løntabel gældende fra'!D1</f>
        <v>01/04/2018</v>
      </c>
    </row>
    <row r="58" spans="1:10" s="275" customFormat="1" ht="15" thickBot="1" x14ac:dyDescent="0.2">
      <c r="A58" s="1217" t="s">
        <v>197</v>
      </c>
      <c r="B58" s="1218"/>
      <c r="C58" s="1218"/>
      <c r="D58" s="1218"/>
      <c r="E58" s="1218"/>
      <c r="F58" s="696"/>
      <c r="G58" s="697"/>
      <c r="H58" s="341">
        <v>10500</v>
      </c>
      <c r="I58" s="342">
        <f>H58+(H58*'Løntabel gældende fra'!D7%)</f>
        <v>11231.6715</v>
      </c>
    </row>
    <row r="59" spans="1:10" s="302" customFormat="1" ht="14" x14ac:dyDescent="0.15">
      <c r="A59" s="299"/>
      <c r="B59" s="299"/>
      <c r="C59" s="299"/>
      <c r="D59" s="299"/>
      <c r="E59" s="299"/>
      <c r="F59" s="286"/>
      <c r="G59" s="286"/>
      <c r="H59" s="300"/>
      <c r="I59" s="301"/>
    </row>
  </sheetData>
  <sheetProtection sheet="1" objects="1" scenarios="1"/>
  <mergeCells count="44">
    <mergeCell ref="A58:E58"/>
    <mergeCell ref="A46:E46"/>
    <mergeCell ref="A52:E52"/>
    <mergeCell ref="A36:I36"/>
    <mergeCell ref="A38:G39"/>
    <mergeCell ref="A40:E40"/>
    <mergeCell ref="A54:I54"/>
    <mergeCell ref="A56:G57"/>
    <mergeCell ref="A49:I49"/>
    <mergeCell ref="A55:I55"/>
    <mergeCell ref="A50:G51"/>
    <mergeCell ref="A27:I27"/>
    <mergeCell ref="A33:F33"/>
    <mergeCell ref="A42:I42"/>
    <mergeCell ref="A44:G45"/>
    <mergeCell ref="A48:I48"/>
    <mergeCell ref="A41:I41"/>
    <mergeCell ref="A28:I28"/>
    <mergeCell ref="A37:I37"/>
    <mergeCell ref="A43:I43"/>
    <mergeCell ref="A29:G30"/>
    <mergeCell ref="A31:E31"/>
    <mergeCell ref="A32:E32"/>
    <mergeCell ref="A1:J1"/>
    <mergeCell ref="A2:J2"/>
    <mergeCell ref="A3:J3"/>
    <mergeCell ref="G8:J8"/>
    <mergeCell ref="A8:F8"/>
    <mergeCell ref="A5:J6"/>
    <mergeCell ref="A4:J4"/>
    <mergeCell ref="A17:F17"/>
    <mergeCell ref="A24:D24"/>
    <mergeCell ref="A25:D25"/>
    <mergeCell ref="A16:F16"/>
    <mergeCell ref="A21:F21"/>
    <mergeCell ref="A22:D23"/>
    <mergeCell ref="G10:G11"/>
    <mergeCell ref="H10:H11"/>
    <mergeCell ref="I10:I11"/>
    <mergeCell ref="J10:J11"/>
    <mergeCell ref="G13:G14"/>
    <mergeCell ref="H13:H14"/>
    <mergeCell ref="I13:I14"/>
    <mergeCell ref="J13:J14"/>
  </mergeCells>
  <phoneticPr fontId="6" type="noConversion"/>
  <pageMargins left="0.59" right="0.59" top="0.75" bottom="0.75" header="0.31" footer="0.31"/>
  <pageSetup paperSize="9" scale="62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Forside 1</vt:lpstr>
      <vt:lpstr>Lønoversigt mm.</vt:lpstr>
      <vt:lpstr>Lærere og bh kl ledere</vt:lpstr>
      <vt:lpstr>Ledere</vt:lpstr>
      <vt:lpstr>Gymnasieskoler</vt:lpstr>
      <vt:lpstr>BUPL</vt:lpstr>
      <vt:lpstr>3f (LS_DSSV)</vt:lpstr>
      <vt:lpstr>HK (LS)</vt:lpstr>
      <vt:lpstr>3f (Lilleskolerne, DF, DSSV)</vt:lpstr>
      <vt:lpstr>3F (DPS)</vt:lpstr>
      <vt:lpstr>HK (Lilleskolerne)</vt:lpstr>
      <vt:lpstr>Krifa.</vt:lpstr>
      <vt:lpstr>Generelle satser</vt:lpstr>
      <vt:lpstr>Statens skalatrin</vt:lpstr>
      <vt:lpstr>Løntabel gældende fra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Tove Dohn</cp:lastModifiedBy>
  <cp:lastPrinted>2018-01-05T07:39:38Z</cp:lastPrinted>
  <dcterms:created xsi:type="dcterms:W3CDTF">2014-05-07T09:31:49Z</dcterms:created>
  <dcterms:modified xsi:type="dcterms:W3CDTF">2018-06-11T20:04:50Z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