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18/Okt2018/"/>
    </mc:Choice>
  </mc:AlternateContent>
  <bookViews>
    <workbookView xWindow="0" yWindow="1320" windowWidth="28080" windowHeight="15520" tabRatio="993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r:id="rId5"/>
    <sheet name="BUPL" sheetId="20" r:id="rId6"/>
    <sheet name="3f (LS_DSSV)" sheetId="24" state="hidden" r:id="rId7"/>
    <sheet name="HK (LS)" sheetId="16" state="hidden" r:id="rId8"/>
    <sheet name="3f (DFF, DPS, DSSV)" sheetId="33" r:id="rId9"/>
    <sheet name="3F (DPS)" sheetId="32" state="hidden" r:id="rId10"/>
    <sheet name="HK (Lilleskolerne)" sheetId="34" r:id="rId11"/>
    <sheet name="Krifa" sheetId="36" state="hidden" r:id="rId12"/>
    <sheet name="Generelle satser" sheetId="11" r:id="rId13"/>
    <sheet name="Statens skalatrin" sheetId="10" r:id="rId14"/>
    <sheet name="Løntabel gældende fra" sheetId="12" state="hidden" r:id="rId15"/>
  </sheets>
  <externalReferences>
    <externalReference r:id="rId16"/>
  </externalReferences>
  <definedNames>
    <definedName name="procentregulering">[1]aarslon!$A$1</definedName>
    <definedName name="_xlnm.Print_Area" localSheetId="8">'3f (DFF, DPS, DSSV)'!$A$1:$J$57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1'!$A$1:$I$28</definedName>
    <definedName name="_xlnm.Print_Area" localSheetId="12">'Generelle satser'!$A$1:$H$85</definedName>
    <definedName name="_xlnm.Print_Area" localSheetId="4">Gymnasieskoler!$A$1:$H$126</definedName>
    <definedName name="_xlnm.Print_Area" localSheetId="10">'HK (Lilleskolerne)'!$A$1:$G$38</definedName>
    <definedName name="_xlnm.Print_Area" localSheetId="7">'HK (LS)'!$A$1:$G$38</definedName>
    <definedName name="_xlnm.Print_Area" localSheetId="11">Krifa!$A$1:$J$55</definedName>
    <definedName name="_xlnm.Print_Area" localSheetId="3">Ledere!$A$1:$G$96</definedName>
    <definedName name="_xlnm.Print_Area" localSheetId="2">'Lærere og bh kl ledere'!$A$1:$I$166</definedName>
    <definedName name="_xlnm.Print_Area" localSheetId="14">'Løntabel gældende fra'!$A$1:$G$20</definedName>
    <definedName name="_xlnm.Print_Area" localSheetId="13">'Statens skalatrin'!$A$1:$P$158</definedName>
    <definedName name="_xlnm.Print_Titles" localSheetId="8">'3f (DFF, DPS,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1" l="1"/>
  <c r="F19" i="33"/>
  <c r="F18" i="33"/>
  <c r="F61" i="1"/>
  <c r="D61" i="1"/>
  <c r="D65" i="1"/>
  <c r="F65" i="1"/>
  <c r="D64" i="1"/>
  <c r="F64" i="1"/>
  <c r="D63" i="1"/>
  <c r="F63" i="1"/>
  <c r="D62" i="1"/>
  <c r="F62" i="1"/>
  <c r="D13" i="1"/>
  <c r="E13" i="1"/>
  <c r="B140" i="1"/>
  <c r="F140" i="1"/>
  <c r="D12" i="1"/>
  <c r="E12" i="1"/>
  <c r="B139" i="1"/>
  <c r="F139" i="1"/>
  <c r="D11" i="1"/>
  <c r="E11" i="1"/>
  <c r="B138" i="1"/>
  <c r="F138" i="1"/>
  <c r="D10" i="1"/>
  <c r="E10" i="1"/>
  <c r="B137" i="1"/>
  <c r="F137" i="1"/>
  <c r="G13" i="1"/>
  <c r="H13" i="1"/>
  <c r="B113" i="1"/>
  <c r="F113" i="1"/>
  <c r="G12" i="1"/>
  <c r="H12" i="1"/>
  <c r="B112" i="1"/>
  <c r="F112" i="1"/>
  <c r="G11" i="1"/>
  <c r="H11" i="1"/>
  <c r="B111" i="1"/>
  <c r="F111" i="1"/>
  <c r="G10" i="1"/>
  <c r="H10" i="1"/>
  <c r="B110" i="1"/>
  <c r="F110" i="1"/>
  <c r="O45" i="10"/>
  <c r="O46" i="10"/>
  <c r="O54" i="10"/>
  <c r="O55" i="10"/>
  <c r="O63" i="10"/>
  <c r="O64" i="10"/>
  <c r="D12" i="35"/>
  <c r="E12" i="35"/>
  <c r="F12" i="35"/>
  <c r="D11" i="35"/>
  <c r="E11" i="35"/>
  <c r="F11" i="35"/>
  <c r="C117" i="35"/>
  <c r="C116" i="35"/>
  <c r="C109" i="35"/>
  <c r="G102" i="35"/>
  <c r="E102" i="35"/>
  <c r="G101" i="35"/>
  <c r="E101" i="35"/>
  <c r="C93" i="35"/>
  <c r="E84" i="35"/>
  <c r="C76" i="35"/>
  <c r="E69" i="35"/>
  <c r="F69" i="35"/>
  <c r="G69" i="35"/>
  <c r="E68" i="35"/>
  <c r="E67" i="35"/>
  <c r="E66" i="35"/>
  <c r="E65" i="35"/>
  <c r="F65" i="35"/>
  <c r="G65" i="35"/>
  <c r="E64" i="35"/>
  <c r="F57" i="35"/>
  <c r="F56" i="35"/>
  <c r="F55" i="35"/>
  <c r="F54" i="35"/>
  <c r="F53" i="35"/>
  <c r="F48" i="35"/>
  <c r="F47" i="35"/>
  <c r="F46" i="35"/>
  <c r="F45" i="35"/>
  <c r="F44" i="35"/>
  <c r="D35" i="35"/>
  <c r="E35" i="35"/>
  <c r="F35" i="35"/>
  <c r="D34" i="35"/>
  <c r="E34" i="35"/>
  <c r="F34" i="35"/>
  <c r="D33" i="35"/>
  <c r="D32" i="35"/>
  <c r="D31" i="35"/>
  <c r="E31" i="35"/>
  <c r="F31" i="35"/>
  <c r="D30" i="35"/>
  <c r="E30" i="35"/>
  <c r="F30" i="35"/>
  <c r="D29" i="35"/>
  <c r="D15" i="35"/>
  <c r="D14" i="35"/>
  <c r="E14" i="35"/>
  <c r="F14" i="35"/>
  <c r="D13" i="35"/>
  <c r="E13" i="35"/>
  <c r="F13" i="35"/>
  <c r="F46" i="20"/>
  <c r="G96" i="1"/>
  <c r="G95" i="1"/>
  <c r="G92" i="1"/>
  <c r="G91" i="1"/>
  <c r="F89" i="1"/>
  <c r="F91" i="1"/>
  <c r="F92" i="1"/>
  <c r="F93" i="1"/>
  <c r="F95" i="1"/>
  <c r="F96" i="1"/>
  <c r="E98" i="35"/>
  <c r="A74" i="20"/>
  <c r="C92" i="35"/>
  <c r="D92" i="35"/>
  <c r="C115" i="35"/>
  <c r="D115" i="35"/>
  <c r="C108" i="35"/>
  <c r="D108" i="35"/>
  <c r="E83" i="35"/>
  <c r="C75" i="35"/>
  <c r="E63" i="35"/>
  <c r="F63" i="35"/>
  <c r="F52" i="35"/>
  <c r="G52" i="35"/>
  <c r="F43" i="35"/>
  <c r="G43" i="35"/>
  <c r="E28" i="35"/>
  <c r="D28" i="35"/>
  <c r="E10" i="35"/>
  <c r="D10" i="35"/>
  <c r="E15" i="35"/>
  <c r="F15" i="35"/>
  <c r="E29" i="35"/>
  <c r="F29" i="35"/>
  <c r="E32" i="35"/>
  <c r="F32" i="35"/>
  <c r="E33" i="35"/>
  <c r="F33" i="35"/>
  <c r="G44" i="35"/>
  <c r="G45" i="35"/>
  <c r="G46" i="35"/>
  <c r="G47" i="35"/>
  <c r="G48" i="35"/>
  <c r="G53" i="35"/>
  <c r="G54" i="35"/>
  <c r="G55" i="35"/>
  <c r="G56" i="35"/>
  <c r="G57" i="35"/>
  <c r="F64" i="35"/>
  <c r="G64" i="35"/>
  <c r="F66" i="35"/>
  <c r="G66" i="35"/>
  <c r="F67" i="35"/>
  <c r="G67" i="35"/>
  <c r="F68" i="35"/>
  <c r="G68" i="35"/>
  <c r="E76" i="35"/>
  <c r="D109" i="35"/>
  <c r="E109" i="35"/>
  <c r="D116" i="35"/>
  <c r="E116" i="35"/>
  <c r="D117" i="35"/>
  <c r="E117" i="35"/>
  <c r="D93" i="35"/>
  <c r="E93" i="35"/>
  <c r="F87" i="10"/>
  <c r="F88" i="10"/>
  <c r="F54" i="13"/>
  <c r="F53" i="13"/>
  <c r="F52" i="13"/>
  <c r="E40" i="10"/>
  <c r="E41" i="10"/>
  <c r="F39" i="10"/>
  <c r="F40" i="10"/>
  <c r="F41" i="10"/>
  <c r="G40" i="10"/>
  <c r="G41" i="10"/>
  <c r="H39" i="10"/>
  <c r="H40" i="10"/>
  <c r="H41" i="10"/>
  <c r="I40" i="10"/>
  <c r="I41" i="10"/>
  <c r="J39" i="10"/>
  <c r="J40" i="10"/>
  <c r="J41" i="10"/>
  <c r="K40" i="10"/>
  <c r="K41" i="10"/>
  <c r="L39" i="10"/>
  <c r="L40" i="10"/>
  <c r="L41" i="10"/>
  <c r="M41" i="10"/>
  <c r="N41" i="10"/>
  <c r="O39" i="10"/>
  <c r="O40" i="10"/>
  <c r="O41" i="10"/>
  <c r="D39" i="10"/>
  <c r="D40" i="10"/>
  <c r="D41" i="10"/>
  <c r="F71" i="13"/>
  <c r="D71" i="13"/>
  <c r="B73" i="13"/>
  <c r="D73" i="13"/>
  <c r="E73" i="13"/>
  <c r="F73" i="13"/>
  <c r="B74" i="13"/>
  <c r="D74" i="13"/>
  <c r="E74" i="13"/>
  <c r="F74" i="13"/>
  <c r="B75" i="13"/>
  <c r="D75" i="13"/>
  <c r="E75" i="13"/>
  <c r="F75" i="13"/>
  <c r="B76" i="13"/>
  <c r="D76" i="13"/>
  <c r="E76" i="13"/>
  <c r="F76" i="13"/>
  <c r="B77" i="13"/>
  <c r="D77" i="13"/>
  <c r="E77" i="13"/>
  <c r="F77" i="13"/>
  <c r="B78" i="13"/>
  <c r="D78" i="13"/>
  <c r="E78" i="13"/>
  <c r="F78" i="13"/>
  <c r="B79" i="13"/>
  <c r="D79" i="13"/>
  <c r="E79" i="13"/>
  <c r="F79" i="13"/>
  <c r="B80" i="13"/>
  <c r="D80" i="13"/>
  <c r="E80" i="13"/>
  <c r="F80" i="13"/>
  <c r="B81" i="13"/>
  <c r="D81" i="13"/>
  <c r="E81" i="13"/>
  <c r="F81" i="13"/>
  <c r="B82" i="13"/>
  <c r="D82" i="13"/>
  <c r="E82" i="13"/>
  <c r="F82" i="13"/>
  <c r="B83" i="13"/>
  <c r="D83" i="13"/>
  <c r="E83" i="13"/>
  <c r="F83" i="13"/>
  <c r="B84" i="13"/>
  <c r="D84" i="13"/>
  <c r="E84" i="13"/>
  <c r="F84" i="13"/>
  <c r="B85" i="13"/>
  <c r="D85" i="13"/>
  <c r="E85" i="13"/>
  <c r="F85" i="13"/>
  <c r="B86" i="13"/>
  <c r="D86" i="13"/>
  <c r="E86" i="13"/>
  <c r="F86" i="13"/>
  <c r="B87" i="13"/>
  <c r="D87" i="13"/>
  <c r="E87" i="13"/>
  <c r="F87" i="13"/>
  <c r="B88" i="13"/>
  <c r="D88" i="13"/>
  <c r="E88" i="13"/>
  <c r="F88" i="13"/>
  <c r="B89" i="13"/>
  <c r="D89" i="13"/>
  <c r="E89" i="13"/>
  <c r="F89" i="13"/>
  <c r="B90" i="13"/>
  <c r="D90" i="13"/>
  <c r="E90" i="13"/>
  <c r="F90" i="13"/>
  <c r="B91" i="13"/>
  <c r="D91" i="13"/>
  <c r="E91" i="13"/>
  <c r="F91" i="13"/>
  <c r="B92" i="13"/>
  <c r="D92" i="13"/>
  <c r="E92" i="13"/>
  <c r="F92" i="13"/>
  <c r="C74" i="13"/>
  <c r="C75" i="13"/>
  <c r="C77" i="13"/>
  <c r="C78" i="13"/>
  <c r="C79" i="13"/>
  <c r="C81" i="13"/>
  <c r="C82" i="13"/>
  <c r="C83" i="13"/>
  <c r="C85" i="13"/>
  <c r="C86" i="13"/>
  <c r="C87" i="13"/>
  <c r="C89" i="13"/>
  <c r="C90" i="13"/>
  <c r="C91" i="13"/>
  <c r="C73" i="13"/>
  <c r="A1" i="10"/>
  <c r="E23" i="34"/>
  <c r="D23" i="34"/>
  <c r="C23" i="34"/>
  <c r="E17" i="34"/>
  <c r="D17" i="34"/>
  <c r="C17" i="34"/>
  <c r="F9" i="34"/>
  <c r="E9" i="34"/>
  <c r="D9" i="34"/>
  <c r="A3" i="34"/>
  <c r="I54" i="32"/>
  <c r="I47" i="32"/>
  <c r="I40" i="32"/>
  <c r="I33" i="32"/>
  <c r="I23" i="32"/>
  <c r="A3" i="32"/>
  <c r="A3" i="33"/>
  <c r="A3" i="20"/>
  <c r="E35" i="13"/>
  <c r="E11" i="13"/>
  <c r="E19" i="13"/>
  <c r="E9" i="13"/>
  <c r="A3" i="13"/>
  <c r="F52" i="1"/>
  <c r="D52" i="1"/>
  <c r="A29" i="1"/>
  <c r="A26" i="1"/>
  <c r="A3" i="1"/>
  <c r="G31" i="11"/>
  <c r="H31" i="11"/>
  <c r="G32" i="11"/>
  <c r="H32" i="11"/>
  <c r="G33" i="11"/>
  <c r="H33" i="11"/>
  <c r="G34" i="11"/>
  <c r="H34" i="11"/>
  <c r="G35" i="11"/>
  <c r="H35" i="11"/>
  <c r="H30" i="11"/>
  <c r="F30" i="11"/>
  <c r="E31" i="11"/>
  <c r="F31" i="11"/>
  <c r="E32" i="11"/>
  <c r="F32" i="11"/>
  <c r="E33" i="11"/>
  <c r="F33" i="11"/>
  <c r="E34" i="11"/>
  <c r="F34" i="11"/>
  <c r="E35" i="11"/>
  <c r="F35" i="11"/>
  <c r="O57" i="10"/>
  <c r="O58" i="10"/>
  <c r="G12" i="20"/>
  <c r="H12" i="20"/>
  <c r="O60" i="10"/>
  <c r="O61" i="10"/>
  <c r="G13" i="20"/>
  <c r="H13" i="20"/>
  <c r="O66" i="10"/>
  <c r="O67" i="10"/>
  <c r="G13" i="33"/>
  <c r="J13" i="33"/>
  <c r="G15" i="20"/>
  <c r="H15" i="20"/>
  <c r="O69" i="10"/>
  <c r="O70" i="10"/>
  <c r="G16" i="20"/>
  <c r="H16" i="20"/>
  <c r="O72" i="10"/>
  <c r="O73" i="10"/>
  <c r="G17" i="20"/>
  <c r="H17" i="20"/>
  <c r="O75" i="10"/>
  <c r="O76" i="10"/>
  <c r="G18" i="20"/>
  <c r="H18" i="20"/>
  <c r="O78" i="10"/>
  <c r="O79" i="10"/>
  <c r="G19" i="20"/>
  <c r="H19" i="20"/>
  <c r="O81" i="10"/>
  <c r="O82" i="10"/>
  <c r="G20" i="20"/>
  <c r="H20" i="20"/>
  <c r="O84" i="10"/>
  <c r="O85" i="10"/>
  <c r="G21" i="20"/>
  <c r="H21" i="20"/>
  <c r="O87" i="10"/>
  <c r="O88" i="10"/>
  <c r="G22" i="20"/>
  <c r="H22" i="20"/>
  <c r="O90" i="10"/>
  <c r="O91" i="10"/>
  <c r="G23" i="20"/>
  <c r="H23" i="20"/>
  <c r="O93" i="10"/>
  <c r="O94" i="10"/>
  <c r="G24" i="20"/>
  <c r="H24" i="20"/>
  <c r="O96" i="10"/>
  <c r="O97" i="10"/>
  <c r="G25" i="20"/>
  <c r="H25" i="20"/>
  <c r="O99" i="10"/>
  <c r="O100" i="10"/>
  <c r="O102" i="10"/>
  <c r="O103" i="10"/>
  <c r="O104" i="10"/>
  <c r="G27" i="20"/>
  <c r="H27" i="20"/>
  <c r="O105" i="10"/>
  <c r="O106" i="10"/>
  <c r="G28" i="20"/>
  <c r="H28" i="20"/>
  <c r="O108" i="10"/>
  <c r="O109" i="10"/>
  <c r="G29" i="20"/>
  <c r="H29" i="20"/>
  <c r="O111" i="10"/>
  <c r="O112" i="10"/>
  <c r="O114" i="10"/>
  <c r="O115" i="10"/>
  <c r="G31" i="20"/>
  <c r="H31" i="20"/>
  <c r="O117" i="10"/>
  <c r="O118" i="10"/>
  <c r="G32" i="20"/>
  <c r="H32" i="20"/>
  <c r="O51" i="10"/>
  <c r="O52" i="10"/>
  <c r="G10" i="20"/>
  <c r="H10" i="20"/>
  <c r="O48" i="10"/>
  <c r="O49" i="10"/>
  <c r="G9" i="20"/>
  <c r="H9" i="20"/>
  <c r="I48" i="32"/>
  <c r="I41" i="32"/>
  <c r="I34" i="32"/>
  <c r="I25" i="32"/>
  <c r="I26" i="32"/>
  <c r="I27" i="32"/>
  <c r="I24" i="32"/>
  <c r="B24" i="34"/>
  <c r="C24" i="34"/>
  <c r="D24" i="34"/>
  <c r="B19" i="34"/>
  <c r="C19" i="34"/>
  <c r="B18" i="34"/>
  <c r="C18" i="34"/>
  <c r="D18" i="34"/>
  <c r="D11" i="34"/>
  <c r="D12" i="34"/>
  <c r="D13" i="34"/>
  <c r="E13" i="34"/>
  <c r="D10" i="34"/>
  <c r="I39" i="33"/>
  <c r="F24" i="33"/>
  <c r="I31" i="33"/>
  <c r="I32" i="33"/>
  <c r="I33" i="33"/>
  <c r="I30" i="33"/>
  <c r="I45" i="33"/>
  <c r="I57" i="33"/>
  <c r="E24" i="34"/>
  <c r="D19" i="34"/>
  <c r="E19" i="34"/>
  <c r="E18" i="34"/>
  <c r="E10" i="34"/>
  <c r="F10" i="34"/>
  <c r="E11" i="34"/>
  <c r="F11" i="34"/>
  <c r="E12" i="34"/>
  <c r="F13" i="34"/>
  <c r="B29" i="34"/>
  <c r="E29" i="34"/>
  <c r="B30" i="34"/>
  <c r="E30" i="34"/>
  <c r="C30" i="34"/>
  <c r="D30" i="34"/>
  <c r="B32" i="34"/>
  <c r="E32" i="34"/>
  <c r="D57" i="10"/>
  <c r="D58" i="10"/>
  <c r="B12" i="20"/>
  <c r="D60" i="10"/>
  <c r="D61" i="10"/>
  <c r="B13" i="20"/>
  <c r="D54" i="10"/>
  <c r="D55" i="10"/>
  <c r="B11" i="20"/>
  <c r="D51" i="10"/>
  <c r="D52" i="10"/>
  <c r="B10" i="20"/>
  <c r="I56" i="33"/>
  <c r="I50" i="33"/>
  <c r="I44" i="33"/>
  <c r="I38" i="33"/>
  <c r="I29" i="33"/>
  <c r="F23" i="33"/>
  <c r="J45" i="10"/>
  <c r="J46" i="10"/>
  <c r="E9" i="32"/>
  <c r="E17" i="32"/>
  <c r="L45" i="10"/>
  <c r="L46" i="10"/>
  <c r="L63" i="10"/>
  <c r="L64" i="10"/>
  <c r="F11" i="32"/>
  <c r="J63" i="10"/>
  <c r="J64" i="10"/>
  <c r="E11" i="32"/>
  <c r="H63" i="10"/>
  <c r="H64" i="10"/>
  <c r="D11" i="32"/>
  <c r="F63" i="10"/>
  <c r="F64" i="10"/>
  <c r="C11" i="32"/>
  <c r="D63" i="10"/>
  <c r="D64" i="10"/>
  <c r="B11" i="32"/>
  <c r="H45" i="10"/>
  <c r="H46" i="10"/>
  <c r="F45" i="10"/>
  <c r="F46" i="10"/>
  <c r="C9" i="32"/>
  <c r="D45" i="10"/>
  <c r="D46" i="10"/>
  <c r="L54" i="10"/>
  <c r="L55" i="10"/>
  <c r="F10" i="32"/>
  <c r="J54" i="10"/>
  <c r="J55" i="10"/>
  <c r="E10" i="32"/>
  <c r="H54" i="10"/>
  <c r="H55" i="10"/>
  <c r="F54" i="10"/>
  <c r="F55" i="10"/>
  <c r="G12" i="33"/>
  <c r="J12" i="33"/>
  <c r="E12" i="33"/>
  <c r="E10" i="33"/>
  <c r="E11" i="33"/>
  <c r="C10" i="33"/>
  <c r="C11" i="33"/>
  <c r="G10" i="33"/>
  <c r="J10" i="33"/>
  <c r="B12" i="33"/>
  <c r="H13" i="33"/>
  <c r="I13" i="33"/>
  <c r="C17" i="32"/>
  <c r="F45" i="20"/>
  <c r="H66" i="20"/>
  <c r="H65" i="20"/>
  <c r="H64" i="20"/>
  <c r="H63" i="20"/>
  <c r="H62" i="20"/>
  <c r="H61" i="20"/>
  <c r="H59" i="20"/>
  <c r="H58" i="20"/>
  <c r="H53" i="20"/>
  <c r="H52" i="20"/>
  <c r="H51" i="20"/>
  <c r="H46" i="20"/>
  <c r="G46" i="20"/>
  <c r="H45" i="20"/>
  <c r="F83" i="20"/>
  <c r="F82" i="20"/>
  <c r="O156" i="10"/>
  <c r="O157" i="10"/>
  <c r="O158" i="10"/>
  <c r="N158" i="10"/>
  <c r="M158" i="10"/>
  <c r="L156" i="10"/>
  <c r="L157" i="10"/>
  <c r="L158" i="10"/>
  <c r="K157" i="10"/>
  <c r="K158" i="10"/>
  <c r="J156" i="10"/>
  <c r="J157" i="10"/>
  <c r="J158" i="10"/>
  <c r="I157" i="10"/>
  <c r="I158" i="10"/>
  <c r="H156" i="10"/>
  <c r="H157" i="10"/>
  <c r="H158" i="10"/>
  <c r="G157" i="10"/>
  <c r="G158" i="10"/>
  <c r="F156" i="10"/>
  <c r="F157" i="10"/>
  <c r="F158" i="10"/>
  <c r="D156" i="10"/>
  <c r="D157" i="10"/>
  <c r="D158" i="10"/>
  <c r="O153" i="10"/>
  <c r="O154" i="10"/>
  <c r="O155" i="10"/>
  <c r="N155" i="10"/>
  <c r="M155" i="10"/>
  <c r="L153" i="10"/>
  <c r="L154" i="10"/>
  <c r="L155" i="10"/>
  <c r="K154" i="10"/>
  <c r="K155" i="10"/>
  <c r="J153" i="10"/>
  <c r="J154" i="10"/>
  <c r="J155" i="10"/>
  <c r="I154" i="10"/>
  <c r="I155" i="10"/>
  <c r="H153" i="10"/>
  <c r="H154" i="10"/>
  <c r="H155" i="10"/>
  <c r="G154" i="10"/>
  <c r="G155" i="10"/>
  <c r="F153" i="10"/>
  <c r="F154" i="10"/>
  <c r="F155" i="10"/>
  <c r="D153" i="10"/>
  <c r="D154" i="10"/>
  <c r="D155" i="10"/>
  <c r="O150" i="10"/>
  <c r="O151" i="10"/>
  <c r="O152" i="10"/>
  <c r="N152" i="10"/>
  <c r="M152" i="10"/>
  <c r="L150" i="10"/>
  <c r="L151" i="10"/>
  <c r="L152" i="10"/>
  <c r="K151" i="10"/>
  <c r="K152" i="10"/>
  <c r="J150" i="10"/>
  <c r="J151" i="10"/>
  <c r="J152" i="10"/>
  <c r="I151" i="10"/>
  <c r="I152" i="10"/>
  <c r="H150" i="10"/>
  <c r="H151" i="10"/>
  <c r="H152" i="10"/>
  <c r="G151" i="10"/>
  <c r="G152" i="10"/>
  <c r="F150" i="10"/>
  <c r="F151" i="10"/>
  <c r="F152" i="10"/>
  <c r="D150" i="10"/>
  <c r="D151" i="10"/>
  <c r="D152" i="10"/>
  <c r="O147" i="10"/>
  <c r="O148" i="10"/>
  <c r="G39" i="20"/>
  <c r="N149" i="10"/>
  <c r="M149" i="10"/>
  <c r="L147" i="10"/>
  <c r="L148" i="10"/>
  <c r="K148" i="10"/>
  <c r="K149" i="10"/>
  <c r="J147" i="10"/>
  <c r="J148" i="10"/>
  <c r="I148" i="10"/>
  <c r="I149" i="10"/>
  <c r="H147" i="10"/>
  <c r="H148" i="10"/>
  <c r="G148" i="10"/>
  <c r="G149" i="10"/>
  <c r="F147" i="10"/>
  <c r="F148" i="10"/>
  <c r="D147" i="10"/>
  <c r="D148" i="10"/>
  <c r="B39" i="20"/>
  <c r="O144" i="10"/>
  <c r="O145" i="10"/>
  <c r="N146" i="10"/>
  <c r="M146" i="10"/>
  <c r="L144" i="10"/>
  <c r="L145" i="10"/>
  <c r="K145" i="10"/>
  <c r="K146" i="10"/>
  <c r="J144" i="10"/>
  <c r="J145" i="10"/>
  <c r="J146" i="10"/>
  <c r="I145" i="10"/>
  <c r="I146" i="10"/>
  <c r="H144" i="10"/>
  <c r="H145" i="10"/>
  <c r="H146" i="10"/>
  <c r="G145" i="10"/>
  <c r="G146" i="10"/>
  <c r="F144" i="10"/>
  <c r="F145" i="10"/>
  <c r="F146" i="10"/>
  <c r="D144" i="10"/>
  <c r="D145" i="10"/>
  <c r="D146" i="10"/>
  <c r="O141" i="10"/>
  <c r="O142" i="10"/>
  <c r="O143" i="10"/>
  <c r="N143" i="10"/>
  <c r="M143" i="10"/>
  <c r="L141" i="10"/>
  <c r="L142" i="10"/>
  <c r="L143" i="10"/>
  <c r="K142" i="10"/>
  <c r="K143" i="10"/>
  <c r="J141" i="10"/>
  <c r="J142" i="10"/>
  <c r="J143" i="10"/>
  <c r="I142" i="10"/>
  <c r="I143" i="10"/>
  <c r="H141" i="10"/>
  <c r="H142" i="10"/>
  <c r="H143" i="10"/>
  <c r="G142" i="10"/>
  <c r="G143" i="10"/>
  <c r="F141" i="10"/>
  <c r="F142" i="10"/>
  <c r="F143" i="10"/>
  <c r="D141" i="10"/>
  <c r="D142" i="10"/>
  <c r="D143" i="10"/>
  <c r="O138" i="10"/>
  <c r="O139" i="10"/>
  <c r="O140" i="10"/>
  <c r="N140" i="10"/>
  <c r="M140" i="10"/>
  <c r="L138" i="10"/>
  <c r="L139" i="10"/>
  <c r="L140" i="10"/>
  <c r="K139" i="10"/>
  <c r="K140" i="10"/>
  <c r="J138" i="10"/>
  <c r="J139" i="10"/>
  <c r="J140" i="10"/>
  <c r="I139" i="10"/>
  <c r="I140" i="10"/>
  <c r="H138" i="10"/>
  <c r="H139" i="10"/>
  <c r="H140" i="10"/>
  <c r="G139" i="10"/>
  <c r="G140" i="10"/>
  <c r="F138" i="10"/>
  <c r="F139" i="10"/>
  <c r="F140" i="10"/>
  <c r="D138" i="10"/>
  <c r="D139" i="10"/>
  <c r="D140" i="10"/>
  <c r="O135" i="10"/>
  <c r="O136" i="10"/>
  <c r="N137" i="10"/>
  <c r="M137" i="10"/>
  <c r="L135" i="10"/>
  <c r="L136" i="10"/>
  <c r="K136" i="10"/>
  <c r="K137" i="10"/>
  <c r="J135" i="10"/>
  <c r="J136" i="10"/>
  <c r="I136" i="10"/>
  <c r="I137" i="10"/>
  <c r="H135" i="10"/>
  <c r="H136" i="10"/>
  <c r="G136" i="10"/>
  <c r="G137" i="10"/>
  <c r="F135" i="10"/>
  <c r="F136" i="10"/>
  <c r="D135" i="10"/>
  <c r="D136" i="10"/>
  <c r="O132" i="10"/>
  <c r="O133" i="10"/>
  <c r="O134" i="10"/>
  <c r="N134" i="10"/>
  <c r="M134" i="10"/>
  <c r="L132" i="10"/>
  <c r="L133" i="10"/>
  <c r="K133" i="10"/>
  <c r="K134" i="10"/>
  <c r="J132" i="10"/>
  <c r="J133" i="10"/>
  <c r="J134" i="10"/>
  <c r="I133" i="10"/>
  <c r="I134" i="10"/>
  <c r="H132" i="10"/>
  <c r="H133" i="10"/>
  <c r="H134" i="10"/>
  <c r="G133" i="10"/>
  <c r="G134" i="10"/>
  <c r="F132" i="10"/>
  <c r="F133" i="10"/>
  <c r="F134" i="10"/>
  <c r="D132" i="10"/>
  <c r="D133" i="10"/>
  <c r="D134" i="10"/>
  <c r="O129" i="10"/>
  <c r="O130" i="10"/>
  <c r="N131" i="10"/>
  <c r="M131" i="10"/>
  <c r="L129" i="10"/>
  <c r="L130" i="10"/>
  <c r="F37" i="20"/>
  <c r="K130" i="10"/>
  <c r="K131" i="10"/>
  <c r="J129" i="10"/>
  <c r="J130" i="10"/>
  <c r="I130" i="10"/>
  <c r="I131" i="10"/>
  <c r="H129" i="10"/>
  <c r="H130" i="10"/>
  <c r="G130" i="10"/>
  <c r="G131" i="10"/>
  <c r="F129" i="10"/>
  <c r="F130" i="10"/>
  <c r="D129" i="10"/>
  <c r="D130" i="10"/>
  <c r="O126" i="10"/>
  <c r="O127" i="10"/>
  <c r="O128" i="10"/>
  <c r="N128" i="10"/>
  <c r="M128" i="10"/>
  <c r="L126" i="10"/>
  <c r="L127" i="10"/>
  <c r="L128" i="10"/>
  <c r="K127" i="10"/>
  <c r="K128" i="10"/>
  <c r="J126" i="10"/>
  <c r="J127" i="10"/>
  <c r="J128" i="10"/>
  <c r="I127" i="10"/>
  <c r="I128" i="10"/>
  <c r="H126" i="10"/>
  <c r="H127" i="10"/>
  <c r="H128" i="10"/>
  <c r="G127" i="10"/>
  <c r="G128" i="10"/>
  <c r="F126" i="10"/>
  <c r="F127" i="10"/>
  <c r="F128" i="10"/>
  <c r="D126" i="10"/>
  <c r="D127" i="10"/>
  <c r="O123" i="10"/>
  <c r="O124" i="10"/>
  <c r="G36" i="20"/>
  <c r="H36" i="20"/>
  <c r="N125" i="10"/>
  <c r="M125" i="10"/>
  <c r="L123" i="10"/>
  <c r="L124" i="10"/>
  <c r="K124" i="10"/>
  <c r="K125" i="10"/>
  <c r="J123" i="10"/>
  <c r="J124" i="10"/>
  <c r="I124" i="10"/>
  <c r="I125" i="10"/>
  <c r="H123" i="10"/>
  <c r="H124" i="10"/>
  <c r="G124" i="10"/>
  <c r="G125" i="10"/>
  <c r="F123" i="10"/>
  <c r="F124" i="10"/>
  <c r="D123" i="10"/>
  <c r="D124" i="10"/>
  <c r="O120" i="10"/>
  <c r="O121" i="10"/>
  <c r="O122" i="10"/>
  <c r="N122" i="10"/>
  <c r="M122" i="10"/>
  <c r="L120" i="10"/>
  <c r="L121" i="10"/>
  <c r="L122" i="10"/>
  <c r="K121" i="10"/>
  <c r="K122" i="10"/>
  <c r="J120" i="10"/>
  <c r="J121" i="10"/>
  <c r="J122" i="10"/>
  <c r="I121" i="10"/>
  <c r="I122" i="10"/>
  <c r="H120" i="10"/>
  <c r="H121" i="10"/>
  <c r="H122" i="10"/>
  <c r="G121" i="10"/>
  <c r="G122" i="10"/>
  <c r="F120" i="10"/>
  <c r="F121" i="10"/>
  <c r="D120" i="10"/>
  <c r="D121" i="10"/>
  <c r="D122" i="10"/>
  <c r="O119" i="10"/>
  <c r="N119" i="10"/>
  <c r="M119" i="10"/>
  <c r="L117" i="10"/>
  <c r="L118" i="10"/>
  <c r="L119" i="10"/>
  <c r="K118" i="10"/>
  <c r="K119" i="10"/>
  <c r="J117" i="10"/>
  <c r="J118" i="10"/>
  <c r="J119" i="10"/>
  <c r="I118" i="10"/>
  <c r="I119" i="10"/>
  <c r="H117" i="10"/>
  <c r="H118" i="10"/>
  <c r="G118" i="10"/>
  <c r="G119" i="10"/>
  <c r="F117" i="10"/>
  <c r="F118" i="10"/>
  <c r="F119" i="10"/>
  <c r="D117" i="10"/>
  <c r="D118" i="10"/>
  <c r="N116" i="10"/>
  <c r="M116" i="10"/>
  <c r="L114" i="10"/>
  <c r="L115" i="10"/>
  <c r="L116" i="10"/>
  <c r="K115" i="10"/>
  <c r="K116" i="10"/>
  <c r="J114" i="10"/>
  <c r="J115" i="10"/>
  <c r="J116" i="10"/>
  <c r="I115" i="10"/>
  <c r="I116" i="10"/>
  <c r="H114" i="10"/>
  <c r="H115" i="10"/>
  <c r="G115" i="10"/>
  <c r="G116" i="10"/>
  <c r="F114" i="10"/>
  <c r="F115" i="10"/>
  <c r="D114" i="10"/>
  <c r="D115" i="10"/>
  <c r="N113" i="10"/>
  <c r="M113" i="10"/>
  <c r="L111" i="10"/>
  <c r="L112" i="10"/>
  <c r="L113" i="10"/>
  <c r="K112" i="10"/>
  <c r="K113" i="10"/>
  <c r="J111" i="10"/>
  <c r="J112" i="10"/>
  <c r="I112" i="10"/>
  <c r="I113" i="10"/>
  <c r="H111" i="10"/>
  <c r="H112" i="10"/>
  <c r="H113" i="10"/>
  <c r="G112" i="10"/>
  <c r="G113" i="10"/>
  <c r="F111" i="10"/>
  <c r="F112" i="10"/>
  <c r="F113" i="10"/>
  <c r="D111" i="10"/>
  <c r="D112" i="10"/>
  <c r="O110" i="10"/>
  <c r="N110" i="10"/>
  <c r="M110" i="10"/>
  <c r="L108" i="10"/>
  <c r="L109" i="10"/>
  <c r="L110" i="10"/>
  <c r="K109" i="10"/>
  <c r="K110" i="10"/>
  <c r="J108" i="10"/>
  <c r="J109" i="10"/>
  <c r="I109" i="10"/>
  <c r="I110" i="10"/>
  <c r="H108" i="10"/>
  <c r="H109" i="10"/>
  <c r="H110" i="10"/>
  <c r="G109" i="10"/>
  <c r="G110" i="10"/>
  <c r="F108" i="10"/>
  <c r="F109" i="10"/>
  <c r="F110" i="10"/>
  <c r="D108" i="10"/>
  <c r="D109" i="10"/>
  <c r="O107" i="10"/>
  <c r="N107" i="10"/>
  <c r="M107" i="10"/>
  <c r="L105" i="10"/>
  <c r="L106" i="10"/>
  <c r="L107" i="10"/>
  <c r="K106" i="10"/>
  <c r="K107" i="10"/>
  <c r="J105" i="10"/>
  <c r="J106" i="10"/>
  <c r="J107" i="10"/>
  <c r="I106" i="10"/>
  <c r="I107" i="10"/>
  <c r="H105" i="10"/>
  <c r="H106" i="10"/>
  <c r="H107" i="10"/>
  <c r="G106" i="10"/>
  <c r="G107" i="10"/>
  <c r="F105" i="10"/>
  <c r="F106" i="10"/>
  <c r="F107" i="10"/>
  <c r="D105" i="10"/>
  <c r="D106" i="10"/>
  <c r="N104" i="10"/>
  <c r="M104" i="10"/>
  <c r="L102" i="10"/>
  <c r="L103" i="10"/>
  <c r="L104" i="10"/>
  <c r="K103" i="10"/>
  <c r="K104" i="10"/>
  <c r="J102" i="10"/>
  <c r="J103" i="10"/>
  <c r="J104" i="10"/>
  <c r="I103" i="10"/>
  <c r="I104" i="10"/>
  <c r="H102" i="10"/>
  <c r="H103" i="10"/>
  <c r="H104" i="10"/>
  <c r="G103" i="10"/>
  <c r="G104" i="10"/>
  <c r="F102" i="10"/>
  <c r="F103" i="10"/>
  <c r="F104" i="10"/>
  <c r="D102" i="10"/>
  <c r="D103" i="10"/>
  <c r="N101" i="10"/>
  <c r="M101" i="10"/>
  <c r="L99" i="10"/>
  <c r="L100" i="10"/>
  <c r="L101" i="10"/>
  <c r="K100" i="10"/>
  <c r="K101" i="10"/>
  <c r="J99" i="10"/>
  <c r="J100" i="10"/>
  <c r="J101" i="10"/>
  <c r="I100" i="10"/>
  <c r="I101" i="10"/>
  <c r="H99" i="10"/>
  <c r="H100" i="10"/>
  <c r="H101" i="10"/>
  <c r="G100" i="10"/>
  <c r="G101" i="10"/>
  <c r="F99" i="10"/>
  <c r="F100" i="10"/>
  <c r="F101" i="10"/>
  <c r="D99" i="10"/>
  <c r="D100" i="10"/>
  <c r="N98" i="10"/>
  <c r="M98" i="10"/>
  <c r="L96" i="10"/>
  <c r="L97" i="10"/>
  <c r="L98" i="10"/>
  <c r="K97" i="10"/>
  <c r="K98" i="10"/>
  <c r="J96" i="10"/>
  <c r="J97" i="10"/>
  <c r="I97" i="10"/>
  <c r="I98" i="10"/>
  <c r="H96" i="10"/>
  <c r="H97" i="10"/>
  <c r="H98" i="10"/>
  <c r="G97" i="10"/>
  <c r="G98" i="10"/>
  <c r="F96" i="10"/>
  <c r="F97" i="10"/>
  <c r="F98" i="10"/>
  <c r="D96" i="10"/>
  <c r="D97" i="10"/>
  <c r="O95" i="10"/>
  <c r="N95" i="10"/>
  <c r="M95" i="10"/>
  <c r="L93" i="10"/>
  <c r="L94" i="10"/>
  <c r="L95" i="10"/>
  <c r="K94" i="10"/>
  <c r="K95" i="10"/>
  <c r="J93" i="10"/>
  <c r="J94" i="10"/>
  <c r="J95" i="10"/>
  <c r="I94" i="10"/>
  <c r="I95" i="10"/>
  <c r="H93" i="10"/>
  <c r="H94" i="10"/>
  <c r="H95" i="10"/>
  <c r="G94" i="10"/>
  <c r="G95" i="10"/>
  <c r="F93" i="10"/>
  <c r="F94" i="10"/>
  <c r="F95" i="10"/>
  <c r="D93" i="10"/>
  <c r="D94" i="10"/>
  <c r="O92" i="10"/>
  <c r="N92" i="10"/>
  <c r="M92" i="10"/>
  <c r="L90" i="10"/>
  <c r="L91" i="10"/>
  <c r="K91" i="10"/>
  <c r="K92" i="10"/>
  <c r="J90" i="10"/>
  <c r="J91" i="10"/>
  <c r="J92" i="10"/>
  <c r="I91" i="10"/>
  <c r="I92" i="10"/>
  <c r="H90" i="10"/>
  <c r="H91" i="10"/>
  <c r="G91" i="10"/>
  <c r="G92" i="10"/>
  <c r="F90" i="10"/>
  <c r="F91" i="10"/>
  <c r="F92" i="10"/>
  <c r="D90" i="10"/>
  <c r="D91" i="10"/>
  <c r="O89" i="10"/>
  <c r="N89" i="10"/>
  <c r="M89" i="10"/>
  <c r="L87" i="10"/>
  <c r="L88" i="10"/>
  <c r="L89" i="10"/>
  <c r="K88" i="10"/>
  <c r="K89" i="10"/>
  <c r="J87" i="10"/>
  <c r="J88" i="10"/>
  <c r="I88" i="10"/>
  <c r="I89" i="10"/>
  <c r="H87" i="10"/>
  <c r="H88" i="10"/>
  <c r="D22" i="20"/>
  <c r="G88" i="10"/>
  <c r="G89" i="10"/>
  <c r="E88" i="10"/>
  <c r="E89" i="10"/>
  <c r="D87" i="10"/>
  <c r="D88" i="10"/>
  <c r="O86" i="10"/>
  <c r="N86" i="10"/>
  <c r="M86" i="10"/>
  <c r="L84" i="10"/>
  <c r="L85" i="10"/>
  <c r="L86" i="10"/>
  <c r="K85" i="10"/>
  <c r="K86" i="10"/>
  <c r="J84" i="10"/>
  <c r="J85" i="10"/>
  <c r="J86" i="10"/>
  <c r="I85" i="10"/>
  <c r="I86" i="10"/>
  <c r="H84" i="10"/>
  <c r="H85" i="10"/>
  <c r="H86" i="10"/>
  <c r="G85" i="10"/>
  <c r="G86" i="10"/>
  <c r="F84" i="10"/>
  <c r="F85" i="10"/>
  <c r="F86" i="10"/>
  <c r="D84" i="10"/>
  <c r="D85" i="10"/>
  <c r="O83" i="10"/>
  <c r="N83" i="10"/>
  <c r="M83" i="10"/>
  <c r="L81" i="10"/>
  <c r="L82" i="10"/>
  <c r="K82" i="10"/>
  <c r="K83" i="10"/>
  <c r="J81" i="10"/>
  <c r="J82" i="10"/>
  <c r="J83" i="10"/>
  <c r="I82" i="10"/>
  <c r="I83" i="10"/>
  <c r="H81" i="10"/>
  <c r="H82" i="10"/>
  <c r="G82" i="10"/>
  <c r="G83" i="10"/>
  <c r="F81" i="10"/>
  <c r="F82" i="10"/>
  <c r="F83" i="10"/>
  <c r="D81" i="10"/>
  <c r="D82" i="10"/>
  <c r="N80" i="10"/>
  <c r="M80" i="10"/>
  <c r="L78" i="10"/>
  <c r="L79" i="10"/>
  <c r="K79" i="10"/>
  <c r="K80" i="10"/>
  <c r="J78" i="10"/>
  <c r="J79" i="10"/>
  <c r="I79" i="10"/>
  <c r="I80" i="10"/>
  <c r="H78" i="10"/>
  <c r="H79" i="10"/>
  <c r="G79" i="10"/>
  <c r="G80" i="10"/>
  <c r="F78" i="10"/>
  <c r="F79" i="10"/>
  <c r="D78" i="10"/>
  <c r="D79" i="10"/>
  <c r="B19" i="20"/>
  <c r="N77" i="10"/>
  <c r="M77" i="10"/>
  <c r="L75" i="10"/>
  <c r="L76" i="10"/>
  <c r="K76" i="10"/>
  <c r="K77" i="10"/>
  <c r="J75" i="10"/>
  <c r="J76" i="10"/>
  <c r="I76" i="10"/>
  <c r="I77" i="10"/>
  <c r="H75" i="10"/>
  <c r="H76" i="10"/>
  <c r="G76" i="10"/>
  <c r="G77" i="10"/>
  <c r="F75" i="10"/>
  <c r="F76" i="10"/>
  <c r="F77" i="10"/>
  <c r="D75" i="10"/>
  <c r="D76" i="10"/>
  <c r="B18" i="20"/>
  <c r="N74" i="10"/>
  <c r="M74" i="10"/>
  <c r="L72" i="10"/>
  <c r="L73" i="10"/>
  <c r="K73" i="10"/>
  <c r="K74" i="10"/>
  <c r="J72" i="10"/>
  <c r="J73" i="10"/>
  <c r="J74" i="10"/>
  <c r="I73" i="10"/>
  <c r="I74" i="10"/>
  <c r="H72" i="10"/>
  <c r="H73" i="10"/>
  <c r="G73" i="10"/>
  <c r="G74" i="10"/>
  <c r="F72" i="10"/>
  <c r="F73" i="10"/>
  <c r="D72" i="10"/>
  <c r="D73" i="10"/>
  <c r="D74" i="10"/>
  <c r="B17" i="20"/>
  <c r="O71" i="10"/>
  <c r="N71" i="10"/>
  <c r="M71" i="10"/>
  <c r="L69" i="10"/>
  <c r="L70" i="10"/>
  <c r="F16" i="20"/>
  <c r="K70" i="10"/>
  <c r="K71" i="10"/>
  <c r="J69" i="10"/>
  <c r="J70" i="10"/>
  <c r="I70" i="10"/>
  <c r="I71" i="10"/>
  <c r="H69" i="10"/>
  <c r="H70" i="10"/>
  <c r="G70" i="10"/>
  <c r="G71" i="10"/>
  <c r="F69" i="10"/>
  <c r="F70" i="10"/>
  <c r="D69" i="10"/>
  <c r="D70" i="10"/>
  <c r="B16" i="20"/>
  <c r="O68" i="10"/>
  <c r="N68" i="10"/>
  <c r="M68" i="10"/>
  <c r="L66" i="10"/>
  <c r="L67" i="10"/>
  <c r="F13" i="33"/>
  <c r="K67" i="10"/>
  <c r="K68" i="10"/>
  <c r="J66" i="10"/>
  <c r="J67" i="10"/>
  <c r="E13" i="33"/>
  <c r="I67" i="10"/>
  <c r="I68" i="10"/>
  <c r="H66" i="10"/>
  <c r="H67" i="10"/>
  <c r="G67" i="10"/>
  <c r="G68" i="10"/>
  <c r="F66" i="10"/>
  <c r="F67" i="10"/>
  <c r="D66" i="10"/>
  <c r="D67" i="10"/>
  <c r="N65" i="10"/>
  <c r="M65" i="10"/>
  <c r="K64" i="10"/>
  <c r="K65" i="10"/>
  <c r="I64" i="10"/>
  <c r="I65" i="10"/>
  <c r="G64" i="10"/>
  <c r="G65" i="10"/>
  <c r="C14" i="20"/>
  <c r="F65" i="10"/>
  <c r="B14" i="20"/>
  <c r="N62" i="10"/>
  <c r="M62" i="10"/>
  <c r="L60" i="10"/>
  <c r="L61" i="10"/>
  <c r="K61" i="10"/>
  <c r="K62" i="10"/>
  <c r="J60" i="10"/>
  <c r="J61" i="10"/>
  <c r="J62" i="10"/>
  <c r="I61" i="10"/>
  <c r="I62" i="10"/>
  <c r="H60" i="10"/>
  <c r="H61" i="10"/>
  <c r="D13" i="20"/>
  <c r="G61" i="10"/>
  <c r="G62" i="10"/>
  <c r="F60" i="10"/>
  <c r="F61" i="10"/>
  <c r="N59" i="10"/>
  <c r="M59" i="10"/>
  <c r="L57" i="10"/>
  <c r="L58" i="10"/>
  <c r="K58" i="10"/>
  <c r="K59" i="10"/>
  <c r="J57" i="10"/>
  <c r="J58" i="10"/>
  <c r="E12" i="20"/>
  <c r="I58" i="10"/>
  <c r="I59" i="10"/>
  <c r="H57" i="10"/>
  <c r="H58" i="10"/>
  <c r="G58" i="10"/>
  <c r="G59" i="10"/>
  <c r="F57" i="10"/>
  <c r="F58" i="10"/>
  <c r="D59" i="10"/>
  <c r="N56" i="10"/>
  <c r="M56" i="10"/>
  <c r="K55" i="10"/>
  <c r="K56" i="10"/>
  <c r="J56" i="10"/>
  <c r="I55" i="10"/>
  <c r="I56" i="10"/>
  <c r="D11" i="24"/>
  <c r="G55" i="10"/>
  <c r="G56" i="10"/>
  <c r="N53" i="10"/>
  <c r="M53" i="10"/>
  <c r="L51" i="10"/>
  <c r="L52" i="10"/>
  <c r="K52" i="10"/>
  <c r="K53" i="10"/>
  <c r="J51" i="10"/>
  <c r="J52" i="10"/>
  <c r="I52" i="10"/>
  <c r="I53" i="10"/>
  <c r="H51" i="10"/>
  <c r="H52" i="10"/>
  <c r="H53" i="10"/>
  <c r="D10" i="20"/>
  <c r="G52" i="10"/>
  <c r="G53" i="10"/>
  <c r="F51" i="10"/>
  <c r="F52" i="10"/>
  <c r="D53" i="10"/>
  <c r="N50" i="10"/>
  <c r="M50" i="10"/>
  <c r="L48" i="10"/>
  <c r="L49" i="10"/>
  <c r="K49" i="10"/>
  <c r="K50" i="10"/>
  <c r="J48" i="10"/>
  <c r="J49" i="10"/>
  <c r="E9" i="20"/>
  <c r="I49" i="10"/>
  <c r="I50" i="10"/>
  <c r="H48" i="10"/>
  <c r="H49" i="10"/>
  <c r="G49" i="10"/>
  <c r="G50" i="10"/>
  <c r="F48" i="10"/>
  <c r="F49" i="10"/>
  <c r="D48" i="10"/>
  <c r="D49" i="10"/>
  <c r="B9" i="20"/>
  <c r="N47" i="10"/>
  <c r="M47" i="10"/>
  <c r="K46" i="10"/>
  <c r="K47" i="10"/>
  <c r="I46" i="10"/>
  <c r="I47" i="10"/>
  <c r="F24" i="24"/>
  <c r="D10" i="24"/>
  <c r="D18" i="24"/>
  <c r="G46" i="10"/>
  <c r="G47" i="10"/>
  <c r="F47" i="10"/>
  <c r="O42" i="10"/>
  <c r="O43" i="10"/>
  <c r="O44" i="10"/>
  <c r="N44" i="10"/>
  <c r="M44" i="10"/>
  <c r="L42" i="10"/>
  <c r="L43" i="10"/>
  <c r="L44" i="10"/>
  <c r="K43" i="10"/>
  <c r="K44" i="10"/>
  <c r="J42" i="10"/>
  <c r="J43" i="10"/>
  <c r="J44" i="10"/>
  <c r="I43" i="10"/>
  <c r="I44" i="10"/>
  <c r="H42" i="10"/>
  <c r="H43" i="10"/>
  <c r="H44" i="10"/>
  <c r="G43" i="10"/>
  <c r="G44" i="10"/>
  <c r="F42" i="10"/>
  <c r="F43" i="10"/>
  <c r="F44" i="10"/>
  <c r="D42" i="10"/>
  <c r="D43" i="10"/>
  <c r="D44" i="10"/>
  <c r="O36" i="10"/>
  <c r="O37" i="10"/>
  <c r="O38" i="10"/>
  <c r="N38" i="10"/>
  <c r="M38" i="10"/>
  <c r="L36" i="10"/>
  <c r="L37" i="10"/>
  <c r="L38" i="10"/>
  <c r="K37" i="10"/>
  <c r="K38" i="10"/>
  <c r="J36" i="10"/>
  <c r="J37" i="10"/>
  <c r="J38" i="10"/>
  <c r="I37" i="10"/>
  <c r="I38" i="10"/>
  <c r="H36" i="10"/>
  <c r="H37" i="10"/>
  <c r="H38" i="10"/>
  <c r="G37" i="10"/>
  <c r="G38" i="10"/>
  <c r="F36" i="10"/>
  <c r="F37" i="10"/>
  <c r="F38" i="10"/>
  <c r="D36" i="10"/>
  <c r="D37" i="10"/>
  <c r="D38" i="10"/>
  <c r="O33" i="10"/>
  <c r="O34" i="10"/>
  <c r="O35" i="10"/>
  <c r="N35" i="10"/>
  <c r="M35" i="10"/>
  <c r="L33" i="10"/>
  <c r="L34" i="10"/>
  <c r="L35" i="10"/>
  <c r="K34" i="10"/>
  <c r="K35" i="10"/>
  <c r="J33" i="10"/>
  <c r="J34" i="10"/>
  <c r="J35" i="10"/>
  <c r="I34" i="10"/>
  <c r="I35" i="10"/>
  <c r="H33" i="10"/>
  <c r="H34" i="10"/>
  <c r="H35" i="10"/>
  <c r="G34" i="10"/>
  <c r="G35" i="10"/>
  <c r="F33" i="10"/>
  <c r="F34" i="10"/>
  <c r="F35" i="10"/>
  <c r="D33" i="10"/>
  <c r="D34" i="10"/>
  <c r="D35" i="10"/>
  <c r="O30" i="10"/>
  <c r="O31" i="10"/>
  <c r="O32" i="10"/>
  <c r="N32" i="10"/>
  <c r="M32" i="10"/>
  <c r="L30" i="10"/>
  <c r="L31" i="10"/>
  <c r="L32" i="10"/>
  <c r="K31" i="10"/>
  <c r="K32" i="10"/>
  <c r="J30" i="10"/>
  <c r="J31" i="10"/>
  <c r="J32" i="10"/>
  <c r="I31" i="10"/>
  <c r="I32" i="10"/>
  <c r="H30" i="10"/>
  <c r="H31" i="10"/>
  <c r="H32" i="10"/>
  <c r="G31" i="10"/>
  <c r="G32" i="10"/>
  <c r="F30" i="10"/>
  <c r="F31" i="10"/>
  <c r="F32" i="10"/>
  <c r="D30" i="10"/>
  <c r="D31" i="10"/>
  <c r="D32" i="10"/>
  <c r="O27" i="10"/>
  <c r="O28" i="10"/>
  <c r="O29" i="10"/>
  <c r="N29" i="10"/>
  <c r="M29" i="10"/>
  <c r="L27" i="10"/>
  <c r="L28" i="10"/>
  <c r="L29" i="10"/>
  <c r="K28" i="10"/>
  <c r="K29" i="10"/>
  <c r="J27" i="10"/>
  <c r="J28" i="10"/>
  <c r="J29" i="10"/>
  <c r="I28" i="10"/>
  <c r="I29" i="10"/>
  <c r="H27" i="10"/>
  <c r="H28" i="10"/>
  <c r="H29" i="10"/>
  <c r="G28" i="10"/>
  <c r="G29" i="10"/>
  <c r="F27" i="10"/>
  <c r="F28" i="10"/>
  <c r="F29" i="10"/>
  <c r="D27" i="10"/>
  <c r="D28" i="10"/>
  <c r="D29" i="10"/>
  <c r="O24" i="10"/>
  <c r="O25" i="10"/>
  <c r="O26" i="10"/>
  <c r="N26" i="10"/>
  <c r="M26" i="10"/>
  <c r="L24" i="10"/>
  <c r="L25" i="10"/>
  <c r="L26" i="10"/>
  <c r="K25" i="10"/>
  <c r="K26" i="10"/>
  <c r="J24" i="10"/>
  <c r="J25" i="10"/>
  <c r="J26" i="10"/>
  <c r="I25" i="10"/>
  <c r="I26" i="10"/>
  <c r="H24" i="10"/>
  <c r="H25" i="10"/>
  <c r="H26" i="10"/>
  <c r="G25" i="10"/>
  <c r="G26" i="10"/>
  <c r="F24" i="10"/>
  <c r="F25" i="10"/>
  <c r="F26" i="10"/>
  <c r="D24" i="10"/>
  <c r="D25" i="10"/>
  <c r="D26" i="10"/>
  <c r="O21" i="10"/>
  <c r="O22" i="10"/>
  <c r="O23" i="10"/>
  <c r="N23" i="10"/>
  <c r="M23" i="10"/>
  <c r="L21" i="10"/>
  <c r="L22" i="10"/>
  <c r="L23" i="10"/>
  <c r="K22" i="10"/>
  <c r="K23" i="10"/>
  <c r="J21" i="10"/>
  <c r="J22" i="10"/>
  <c r="J23" i="10"/>
  <c r="I22" i="10"/>
  <c r="I23" i="10"/>
  <c r="H21" i="10"/>
  <c r="H22" i="10"/>
  <c r="H23" i="10"/>
  <c r="G22" i="10"/>
  <c r="G23" i="10"/>
  <c r="F21" i="10"/>
  <c r="F22" i="10"/>
  <c r="F23" i="10"/>
  <c r="D21" i="10"/>
  <c r="D22" i="10"/>
  <c r="D23" i="10"/>
  <c r="O18" i="10"/>
  <c r="O19" i="10"/>
  <c r="O20" i="10"/>
  <c r="N20" i="10"/>
  <c r="M20" i="10"/>
  <c r="L18" i="10"/>
  <c r="L19" i="10"/>
  <c r="L20" i="10"/>
  <c r="K19" i="10"/>
  <c r="K20" i="10"/>
  <c r="J18" i="10"/>
  <c r="J19" i="10"/>
  <c r="J20" i="10"/>
  <c r="I19" i="10"/>
  <c r="I20" i="10"/>
  <c r="H18" i="10"/>
  <c r="H19" i="10"/>
  <c r="H20" i="10"/>
  <c r="G19" i="10"/>
  <c r="G20" i="10"/>
  <c r="F18" i="10"/>
  <c r="F19" i="10"/>
  <c r="F20" i="10"/>
  <c r="D18" i="10"/>
  <c r="D19" i="10"/>
  <c r="D20" i="10"/>
  <c r="O15" i="10"/>
  <c r="O16" i="10"/>
  <c r="O17" i="10"/>
  <c r="N17" i="10"/>
  <c r="M17" i="10"/>
  <c r="L15" i="10"/>
  <c r="L16" i="10"/>
  <c r="L17" i="10"/>
  <c r="K16" i="10"/>
  <c r="K17" i="10"/>
  <c r="J15" i="10"/>
  <c r="J16" i="10"/>
  <c r="J17" i="10"/>
  <c r="I16" i="10"/>
  <c r="I17" i="10"/>
  <c r="H15" i="10"/>
  <c r="H16" i="10"/>
  <c r="H17" i="10"/>
  <c r="G16" i="10"/>
  <c r="G17" i="10"/>
  <c r="F15" i="10"/>
  <c r="F16" i="10"/>
  <c r="F17" i="10"/>
  <c r="D15" i="10"/>
  <c r="D16" i="10"/>
  <c r="D17" i="10"/>
  <c r="O12" i="10"/>
  <c r="O13" i="10"/>
  <c r="O14" i="10"/>
  <c r="N14" i="10"/>
  <c r="M14" i="10"/>
  <c r="L12" i="10"/>
  <c r="L13" i="10"/>
  <c r="L14" i="10"/>
  <c r="K13" i="10"/>
  <c r="K14" i="10"/>
  <c r="J12" i="10"/>
  <c r="J13" i="10"/>
  <c r="J14" i="10"/>
  <c r="I13" i="10"/>
  <c r="I14" i="10"/>
  <c r="H12" i="10"/>
  <c r="H13" i="10"/>
  <c r="H14" i="10"/>
  <c r="G13" i="10"/>
  <c r="G14" i="10"/>
  <c r="F12" i="10"/>
  <c r="F13" i="10"/>
  <c r="F14" i="10"/>
  <c r="D12" i="10"/>
  <c r="D13" i="10"/>
  <c r="D14" i="10"/>
  <c r="O9" i="10"/>
  <c r="O10" i="10"/>
  <c r="O11" i="10"/>
  <c r="N11" i="10"/>
  <c r="M11" i="10"/>
  <c r="L9" i="10"/>
  <c r="L10" i="10"/>
  <c r="L11" i="10"/>
  <c r="K10" i="10"/>
  <c r="K11" i="10"/>
  <c r="J9" i="10"/>
  <c r="J10" i="10"/>
  <c r="J11" i="10"/>
  <c r="I10" i="10"/>
  <c r="I11" i="10"/>
  <c r="H9" i="10"/>
  <c r="H10" i="10"/>
  <c r="H11" i="10"/>
  <c r="G10" i="10"/>
  <c r="G11" i="10"/>
  <c r="F9" i="10"/>
  <c r="F10" i="10"/>
  <c r="F11" i="10"/>
  <c r="D9" i="10"/>
  <c r="D10" i="10"/>
  <c r="D11" i="10"/>
  <c r="O6" i="10"/>
  <c r="O7" i="10"/>
  <c r="O8" i="10"/>
  <c r="N8" i="10"/>
  <c r="M8" i="10"/>
  <c r="L6" i="10"/>
  <c r="L7" i="10"/>
  <c r="L8" i="10"/>
  <c r="K7" i="10"/>
  <c r="K8" i="10"/>
  <c r="J6" i="10"/>
  <c r="J7" i="10"/>
  <c r="J8" i="10"/>
  <c r="I7" i="10"/>
  <c r="I8" i="10"/>
  <c r="H6" i="10"/>
  <c r="H7" i="10"/>
  <c r="H8" i="10"/>
  <c r="G7" i="10"/>
  <c r="G8" i="10"/>
  <c r="F6" i="10"/>
  <c r="F7" i="10"/>
  <c r="F8" i="10"/>
  <c r="D6" i="10"/>
  <c r="D7" i="10"/>
  <c r="D8" i="10"/>
  <c r="F25" i="24"/>
  <c r="B12" i="24"/>
  <c r="C159" i="1"/>
  <c r="E159" i="1"/>
  <c r="C158" i="1"/>
  <c r="C157" i="1"/>
  <c r="F157" i="1"/>
  <c r="G157" i="1"/>
  <c r="H157" i="1"/>
  <c r="C156" i="1"/>
  <c r="F156" i="1"/>
  <c r="G156" i="1"/>
  <c r="H156" i="1"/>
  <c r="C155" i="1"/>
  <c r="C151" i="1"/>
  <c r="C154" i="1"/>
  <c r="C153" i="1"/>
  <c r="F153" i="1"/>
  <c r="G153" i="1"/>
  <c r="H153" i="1"/>
  <c r="E153" i="1"/>
  <c r="C152" i="1"/>
  <c r="F152" i="1"/>
  <c r="G152" i="1"/>
  <c r="H152" i="1"/>
  <c r="C150" i="1"/>
  <c r="F150" i="1"/>
  <c r="G150" i="1"/>
  <c r="H150" i="1"/>
  <c r="C149" i="1"/>
  <c r="C148" i="1"/>
  <c r="F148" i="1"/>
  <c r="G148" i="1"/>
  <c r="H148" i="1"/>
  <c r="C147" i="1"/>
  <c r="F147" i="1"/>
  <c r="G147" i="1"/>
  <c r="H147" i="1"/>
  <c r="C146" i="1"/>
  <c r="C145" i="1"/>
  <c r="E145" i="1"/>
  <c r="C119" i="1"/>
  <c r="E119" i="1"/>
  <c r="C131" i="1"/>
  <c r="E131" i="1"/>
  <c r="C130" i="1"/>
  <c r="C125" i="1"/>
  <c r="C129" i="1"/>
  <c r="F129" i="1"/>
  <c r="G129" i="1"/>
  <c r="H129" i="1"/>
  <c r="C124" i="1"/>
  <c r="C128" i="1"/>
  <c r="C123" i="1"/>
  <c r="C127" i="1"/>
  <c r="C122" i="1"/>
  <c r="E122" i="1"/>
  <c r="C121" i="1"/>
  <c r="C120" i="1"/>
  <c r="F120" i="1"/>
  <c r="G120" i="1"/>
  <c r="H120" i="1"/>
  <c r="C118" i="1"/>
  <c r="E118" i="1"/>
  <c r="G92" i="13"/>
  <c r="G91" i="13"/>
  <c r="G89" i="13"/>
  <c r="G88" i="13"/>
  <c r="G84" i="13"/>
  <c r="G83" i="13"/>
  <c r="G81" i="13"/>
  <c r="G80" i="13"/>
  <c r="G79" i="13"/>
  <c r="G76" i="13"/>
  <c r="G75" i="13"/>
  <c r="G73" i="13"/>
  <c r="F101" i="1"/>
  <c r="I58" i="24"/>
  <c r="I57" i="24"/>
  <c r="G11" i="24"/>
  <c r="J11" i="24"/>
  <c r="H11" i="24"/>
  <c r="F11" i="24"/>
  <c r="F32" i="20"/>
  <c r="F31" i="20"/>
  <c r="F30" i="20"/>
  <c r="F29" i="20"/>
  <c r="F28" i="20"/>
  <c r="F27" i="20"/>
  <c r="F26" i="20"/>
  <c r="F25" i="20"/>
  <c r="F24" i="20"/>
  <c r="F22" i="20"/>
  <c r="F21" i="20"/>
  <c r="E32" i="20"/>
  <c r="E31" i="20"/>
  <c r="E28" i="20"/>
  <c r="E27" i="20"/>
  <c r="E26" i="20"/>
  <c r="E24" i="20"/>
  <c r="E23" i="20"/>
  <c r="E20" i="20"/>
  <c r="D30" i="20"/>
  <c r="D29" i="20"/>
  <c r="D28" i="20"/>
  <c r="D26" i="20"/>
  <c r="D25" i="20"/>
  <c r="D24" i="20"/>
  <c r="D21" i="20"/>
  <c r="C32" i="20"/>
  <c r="C30" i="20"/>
  <c r="C29" i="20"/>
  <c r="C28" i="20"/>
  <c r="C26" i="20"/>
  <c r="C25" i="20"/>
  <c r="C24" i="20"/>
  <c r="C23" i="20"/>
  <c r="C21" i="20"/>
  <c r="C20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2" i="20"/>
  <c r="F71" i="20"/>
  <c r="F70" i="20"/>
  <c r="C21" i="16"/>
  <c r="D21" i="16"/>
  <c r="C11" i="16"/>
  <c r="D11" i="16"/>
  <c r="E11" i="16"/>
  <c r="C10" i="16"/>
  <c r="D10" i="16"/>
  <c r="E10" i="16"/>
  <c r="C9" i="16"/>
  <c r="D9" i="16"/>
  <c r="E9" i="16"/>
  <c r="C8" i="16"/>
  <c r="D8" i="16"/>
  <c r="E8" i="16"/>
  <c r="B22" i="16"/>
  <c r="C22" i="16"/>
  <c r="D22" i="16"/>
  <c r="E22" i="16"/>
  <c r="D15" i="16"/>
  <c r="C15" i="16"/>
  <c r="B17" i="16"/>
  <c r="C17" i="16"/>
  <c r="D17" i="16"/>
  <c r="E17" i="16"/>
  <c r="B16" i="16"/>
  <c r="C16" i="16"/>
  <c r="D16" i="16"/>
  <c r="E16" i="16"/>
  <c r="D7" i="16"/>
  <c r="E7" i="16"/>
  <c r="G85" i="13"/>
  <c r="G82" i="13"/>
  <c r="G77" i="13"/>
  <c r="G74" i="13"/>
  <c r="F158" i="1"/>
  <c r="G158" i="1"/>
  <c r="H158" i="1"/>
  <c r="F149" i="1"/>
  <c r="G149" i="1"/>
  <c r="H149" i="1"/>
  <c r="F146" i="1"/>
  <c r="F118" i="1"/>
  <c r="G118" i="1"/>
  <c r="H118" i="1"/>
  <c r="F130" i="1"/>
  <c r="G130" i="1"/>
  <c r="H130" i="1"/>
  <c r="F125" i="1"/>
  <c r="G125" i="1"/>
  <c r="H125" i="1"/>
  <c r="F123" i="1"/>
  <c r="G123" i="1"/>
  <c r="H123" i="1"/>
  <c r="F121" i="1"/>
  <c r="I84" i="1"/>
  <c r="I83" i="1"/>
  <c r="I77" i="1"/>
  <c r="E47" i="13"/>
  <c r="F47" i="13"/>
  <c r="F46" i="13"/>
  <c r="D29" i="13"/>
  <c r="F29" i="13"/>
  <c r="C29" i="13"/>
  <c r="E29" i="13"/>
  <c r="D28" i="13"/>
  <c r="F28" i="13"/>
  <c r="C28" i="13"/>
  <c r="E28" i="13"/>
  <c r="D27" i="13"/>
  <c r="C27" i="13"/>
  <c r="D25" i="13"/>
  <c r="F25" i="13"/>
  <c r="D26" i="13"/>
  <c r="F26" i="13"/>
  <c r="C26" i="13"/>
  <c r="E26" i="13"/>
  <c r="D24" i="13"/>
  <c r="C24" i="13"/>
  <c r="E24" i="13"/>
  <c r="D23" i="13"/>
  <c r="F23" i="13"/>
  <c r="C23" i="13"/>
  <c r="E23" i="13"/>
  <c r="D22" i="13"/>
  <c r="F22" i="13"/>
  <c r="C22" i="13"/>
  <c r="C25" i="13"/>
  <c r="E25" i="13"/>
  <c r="D21" i="13"/>
  <c r="C21" i="13"/>
  <c r="E21" i="13"/>
  <c r="H71" i="1"/>
  <c r="I71" i="1"/>
  <c r="H20" i="1"/>
  <c r="H21" i="1"/>
  <c r="F29" i="1"/>
  <c r="E20" i="1"/>
  <c r="E21" i="1"/>
  <c r="E22" i="1"/>
  <c r="I29" i="1"/>
  <c r="H29" i="1"/>
  <c r="G29" i="1"/>
  <c r="E29" i="1"/>
  <c r="D29" i="1"/>
  <c r="F100" i="1"/>
  <c r="F102" i="1"/>
  <c r="F99" i="1"/>
  <c r="A57" i="13"/>
  <c r="F41" i="13"/>
  <c r="E41" i="13"/>
  <c r="F40" i="13"/>
  <c r="E40" i="13"/>
  <c r="F39" i="13"/>
  <c r="E39" i="13"/>
  <c r="F38" i="13"/>
  <c r="E38" i="13"/>
  <c r="F37" i="13"/>
  <c r="E37" i="13"/>
  <c r="F27" i="13"/>
  <c r="E27" i="13"/>
  <c r="F24" i="13"/>
  <c r="E22" i="13"/>
  <c r="F21" i="13"/>
  <c r="F13" i="13"/>
  <c r="E13" i="13"/>
  <c r="F12" i="13"/>
  <c r="E12" i="13"/>
  <c r="F11" i="13"/>
  <c r="A106" i="1"/>
  <c r="D93" i="1"/>
  <c r="H23" i="1"/>
  <c r="H22" i="1"/>
  <c r="D56" i="1"/>
  <c r="D55" i="1"/>
  <c r="F55" i="1"/>
  <c r="D54" i="1"/>
  <c r="F54" i="1"/>
  <c r="D53" i="1"/>
  <c r="F53" i="1"/>
  <c r="D47" i="1"/>
  <c r="F47" i="1"/>
  <c r="D46" i="1"/>
  <c r="F46" i="1"/>
  <c r="D45" i="1"/>
  <c r="F45" i="1"/>
  <c r="E2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C116" i="1"/>
  <c r="H82" i="1"/>
  <c r="H70" i="1"/>
  <c r="G70" i="1"/>
  <c r="H76" i="1"/>
  <c r="H19" i="1"/>
  <c r="H9" i="1"/>
  <c r="I70" i="1"/>
  <c r="G146" i="1"/>
  <c r="H146" i="1"/>
  <c r="E158" i="1"/>
  <c r="E150" i="1"/>
  <c r="E149" i="1"/>
  <c r="E146" i="1"/>
  <c r="G121" i="1"/>
  <c r="H121" i="1"/>
  <c r="E130" i="1"/>
  <c r="E125" i="1"/>
  <c r="E123" i="1"/>
  <c r="E121" i="1"/>
  <c r="E24" i="11"/>
  <c r="E25" i="11"/>
  <c r="E23" i="11"/>
  <c r="F56" i="1"/>
  <c r="F44" i="1"/>
  <c r="E22" i="11"/>
  <c r="A133" i="1"/>
  <c r="F143" i="1"/>
  <c r="F116" i="1"/>
  <c r="I76" i="1"/>
  <c r="I82" i="1"/>
  <c r="D44" i="1"/>
  <c r="B44" i="1"/>
  <c r="E19" i="1"/>
  <c r="D9" i="1"/>
  <c r="G9" i="1"/>
  <c r="E9" i="1"/>
  <c r="H9" i="11"/>
  <c r="F9" i="11"/>
  <c r="D9" i="11"/>
  <c r="B9" i="11"/>
  <c r="F12" i="24"/>
  <c r="I11" i="24"/>
  <c r="C12" i="24"/>
  <c r="G12" i="24"/>
  <c r="J12" i="24"/>
  <c r="H12" i="24"/>
  <c r="D12" i="24"/>
  <c r="B10" i="24"/>
  <c r="B18" i="24"/>
  <c r="F159" i="1"/>
  <c r="G159" i="1"/>
  <c r="H159" i="1"/>
  <c r="F131" i="1"/>
  <c r="G131" i="1"/>
  <c r="H131" i="1"/>
  <c r="E120" i="1"/>
  <c r="E156" i="1"/>
  <c r="E148" i="1"/>
  <c r="F154" i="1"/>
  <c r="G154" i="1"/>
  <c r="H154" i="1"/>
  <c r="E154" i="1"/>
  <c r="E151" i="1"/>
  <c r="F124" i="1"/>
  <c r="G124" i="1"/>
  <c r="H124" i="1"/>
  <c r="F151" i="1"/>
  <c r="G151" i="1"/>
  <c r="H151" i="1"/>
  <c r="G10" i="24"/>
  <c r="J10" i="24"/>
  <c r="I10" i="24"/>
  <c r="L50" i="10"/>
  <c r="F9" i="20"/>
  <c r="C10" i="20"/>
  <c r="F53" i="10"/>
  <c r="O56" i="10"/>
  <c r="D14" i="20"/>
  <c r="H65" i="10"/>
  <c r="G38" i="20"/>
  <c r="H38" i="20"/>
  <c r="O137" i="10"/>
  <c r="F17" i="20"/>
  <c r="L74" i="10"/>
  <c r="H125" i="10"/>
  <c r="D36" i="20"/>
  <c r="E124" i="1"/>
  <c r="E147" i="1"/>
  <c r="O47" i="10"/>
  <c r="J50" i="10"/>
  <c r="F14" i="20"/>
  <c r="L65" i="10"/>
  <c r="D17" i="20"/>
  <c r="H74" i="10"/>
  <c r="B22" i="20"/>
  <c r="D89" i="10"/>
  <c r="O125" i="10"/>
  <c r="C37" i="20"/>
  <c r="F131" i="10"/>
  <c r="D149" i="10"/>
  <c r="D39" i="20"/>
  <c r="H149" i="10"/>
  <c r="F18" i="20"/>
  <c r="L77" i="10"/>
  <c r="D86" i="10"/>
  <c r="B21" i="20"/>
  <c r="F125" i="10"/>
  <c r="C36" i="20"/>
  <c r="D19" i="20"/>
  <c r="H80" i="10"/>
  <c r="O80" i="10"/>
  <c r="B25" i="20"/>
  <c r="D98" i="10"/>
  <c r="F137" i="10"/>
  <c r="C38" i="20"/>
  <c r="J137" i="10"/>
  <c r="E38" i="20"/>
  <c r="F149" i="10"/>
  <c r="C39" i="20"/>
  <c r="D62" i="10"/>
  <c r="D92" i="10"/>
  <c r="B23" i="20"/>
  <c r="D104" i="10"/>
  <c r="B27" i="20"/>
  <c r="D113" i="10"/>
  <c r="B30" i="20"/>
  <c r="D119" i="10"/>
  <c r="B32" i="20"/>
  <c r="J125" i="10"/>
  <c r="E36" i="20"/>
  <c r="D131" i="10"/>
  <c r="B37" i="20"/>
  <c r="J131" i="10"/>
  <c r="E37" i="20"/>
  <c r="O131" i="10"/>
  <c r="G37" i="20"/>
  <c r="H37" i="20"/>
  <c r="D137" i="10"/>
  <c r="B38" i="20"/>
  <c r="H137" i="10"/>
  <c r="D38" i="20"/>
  <c r="J149" i="10"/>
  <c r="E39" i="20"/>
  <c r="L149" i="10"/>
  <c r="F39" i="20"/>
  <c r="E17" i="20"/>
  <c r="D116" i="10"/>
  <c r="B31" i="20"/>
  <c r="D125" i="10"/>
  <c r="B36" i="20"/>
  <c r="H131" i="10"/>
  <c r="D37" i="20"/>
  <c r="L137" i="10"/>
  <c r="F38" i="20"/>
  <c r="E13" i="20"/>
  <c r="H62" i="10"/>
  <c r="D68" i="10"/>
  <c r="H68" i="10"/>
  <c r="D80" i="10"/>
  <c r="D83" i="10"/>
  <c r="B20" i="20"/>
  <c r="D95" i="10"/>
  <c r="B24" i="20"/>
  <c r="D101" i="10"/>
  <c r="B26" i="20"/>
  <c r="D107" i="10"/>
  <c r="B28" i="20"/>
  <c r="L125" i="10"/>
  <c r="F36" i="20"/>
  <c r="L131" i="10"/>
  <c r="O149" i="10"/>
  <c r="C18" i="20"/>
  <c r="E128" i="1"/>
  <c r="F128" i="1"/>
  <c r="G128" i="1"/>
  <c r="H128" i="1"/>
  <c r="F8" i="20"/>
  <c r="F10" i="24"/>
  <c r="F18" i="24"/>
  <c r="L47" i="10"/>
  <c r="O146" i="10"/>
  <c r="H39" i="20"/>
  <c r="C11" i="20"/>
  <c r="F56" i="10"/>
  <c r="C11" i="24"/>
  <c r="D9" i="20"/>
  <c r="H50" i="10"/>
  <c r="D16" i="20"/>
  <c r="H71" i="10"/>
  <c r="J68" i="10"/>
  <c r="E15" i="20"/>
  <c r="E14" i="20"/>
  <c r="J65" i="10"/>
  <c r="E12" i="24"/>
  <c r="D50" i="10"/>
  <c r="E10" i="20"/>
  <c r="J53" i="10"/>
  <c r="I12" i="24"/>
  <c r="B8" i="20"/>
  <c r="B76" i="20"/>
  <c r="D47" i="10"/>
  <c r="O50" i="10"/>
  <c r="C12" i="20"/>
  <c r="F59" i="10"/>
  <c r="F15" i="20"/>
  <c r="L68" i="10"/>
  <c r="H77" i="10"/>
  <c r="D18" i="20"/>
  <c r="F122" i="1"/>
  <c r="G122" i="1"/>
  <c r="H122" i="1"/>
  <c r="E157" i="1"/>
  <c r="D27" i="20"/>
  <c r="F155" i="1"/>
  <c r="G155" i="1"/>
  <c r="H155" i="1"/>
  <c r="E155" i="1"/>
  <c r="C9" i="20"/>
  <c r="F50" i="10"/>
  <c r="L83" i="10"/>
  <c r="F20" i="20"/>
  <c r="H92" i="10"/>
  <c r="D23" i="20"/>
  <c r="L134" i="10"/>
  <c r="E8" i="20"/>
  <c r="E76" i="20"/>
  <c r="J47" i="10"/>
  <c r="D11" i="20"/>
  <c r="H56" i="10"/>
  <c r="H116" i="10"/>
  <c r="D31" i="20"/>
  <c r="E129" i="1"/>
  <c r="E10" i="24"/>
  <c r="E18" i="24"/>
  <c r="C126" i="1"/>
  <c r="O53" i="10"/>
  <c r="J59" i="10"/>
  <c r="O59" i="10"/>
  <c r="O62" i="10"/>
  <c r="E16" i="20"/>
  <c r="J71" i="10"/>
  <c r="J89" i="10"/>
  <c r="E22" i="20"/>
  <c r="H119" i="10"/>
  <c r="D32" i="20"/>
  <c r="F122" i="10"/>
  <c r="D128" i="10"/>
  <c r="L146" i="10"/>
  <c r="C17" i="20"/>
  <c r="F74" i="10"/>
  <c r="J80" i="10"/>
  <c r="E19" i="20"/>
  <c r="J113" i="10"/>
  <c r="E30" i="20"/>
  <c r="O116" i="10"/>
  <c r="F119" i="1"/>
  <c r="G119" i="1"/>
  <c r="H119" i="1"/>
  <c r="C29" i="1"/>
  <c r="F145" i="1"/>
  <c r="G145" i="1"/>
  <c r="H145" i="1"/>
  <c r="G86" i="13"/>
  <c r="C8" i="20"/>
  <c r="C77" i="20"/>
  <c r="C10" i="24"/>
  <c r="C18" i="24"/>
  <c r="B11" i="24"/>
  <c r="D56" i="10"/>
  <c r="C13" i="20"/>
  <c r="F62" i="10"/>
  <c r="D65" i="10"/>
  <c r="L71" i="10"/>
  <c r="D77" i="10"/>
  <c r="C19" i="20"/>
  <c r="F80" i="10"/>
  <c r="J110" i="10"/>
  <c r="E29" i="20"/>
  <c r="E152" i="1"/>
  <c r="E11" i="20"/>
  <c r="E11" i="24"/>
  <c r="D12" i="20"/>
  <c r="H59" i="10"/>
  <c r="F13" i="20"/>
  <c r="L62" i="10"/>
  <c r="L92" i="10"/>
  <c r="F23" i="20"/>
  <c r="F116" i="10"/>
  <c r="C31" i="20"/>
  <c r="F71" i="10"/>
  <c r="C16" i="20"/>
  <c r="H83" i="10"/>
  <c r="D20" i="20"/>
  <c r="F10" i="20"/>
  <c r="L53" i="10"/>
  <c r="F12" i="20"/>
  <c r="L59" i="10"/>
  <c r="O98" i="10"/>
  <c r="D8" i="20"/>
  <c r="H47" i="10"/>
  <c r="O65" i="10"/>
  <c r="O77" i="10"/>
  <c r="H89" i="10"/>
  <c r="J98" i="10"/>
  <c r="E25" i="20"/>
  <c r="D71" i="10"/>
  <c r="E18" i="20"/>
  <c r="J77" i="10"/>
  <c r="F11" i="20"/>
  <c r="L56" i="10"/>
  <c r="F19" i="20"/>
  <c r="L80" i="10"/>
  <c r="O74" i="10"/>
  <c r="H10" i="24"/>
  <c r="E77" i="20"/>
  <c r="D76" i="20"/>
  <c r="D77" i="20"/>
  <c r="F77" i="20"/>
  <c r="F76" i="20"/>
  <c r="C76" i="20"/>
  <c r="E126" i="1"/>
  <c r="F126" i="1"/>
  <c r="G126" i="1"/>
  <c r="H126" i="1"/>
  <c r="B77" i="20"/>
  <c r="G90" i="13"/>
  <c r="G78" i="13"/>
  <c r="G87" i="13"/>
  <c r="F9" i="16"/>
  <c r="B28" i="16"/>
  <c r="E28" i="16"/>
  <c r="B29" i="16"/>
  <c r="E29" i="16"/>
  <c r="F10" i="16"/>
  <c r="E127" i="1"/>
  <c r="F127" i="1"/>
  <c r="G127" i="1"/>
  <c r="H127" i="1"/>
  <c r="F8" i="16"/>
  <c r="B27" i="16"/>
  <c r="E27" i="16"/>
  <c r="B30" i="16"/>
  <c r="E30" i="16"/>
  <c r="F11" i="16"/>
  <c r="D13" i="33"/>
  <c r="D15" i="20"/>
  <c r="B10" i="33"/>
  <c r="B11" i="33"/>
  <c r="B9" i="32"/>
  <c r="B17" i="32"/>
  <c r="C13" i="33"/>
  <c r="C15" i="20"/>
  <c r="F68" i="10"/>
  <c r="I10" i="33"/>
  <c r="H10" i="33"/>
  <c r="H12" i="33"/>
  <c r="I12" i="33"/>
  <c r="C27" i="20"/>
  <c r="C10" i="32"/>
  <c r="C12" i="33"/>
  <c r="E21" i="20"/>
  <c r="B13" i="33"/>
  <c r="B15" i="20"/>
  <c r="B29" i="20"/>
  <c r="D110" i="10"/>
  <c r="C29" i="34"/>
  <c r="D29" i="34"/>
  <c r="G11" i="32"/>
  <c r="I11" i="32"/>
  <c r="G14" i="20"/>
  <c r="H14" i="20"/>
  <c r="D10" i="32"/>
  <c r="D12" i="33"/>
  <c r="D9" i="32"/>
  <c r="D17" i="32"/>
  <c r="D10" i="33"/>
  <c r="D11" i="33"/>
  <c r="F9" i="32"/>
  <c r="F17" i="32"/>
  <c r="F10" i="33"/>
  <c r="F11" i="33"/>
  <c r="G30" i="20"/>
  <c r="H30" i="20"/>
  <c r="O113" i="10"/>
  <c r="C22" i="20"/>
  <c r="F89" i="10"/>
  <c r="G11" i="20"/>
  <c r="H11" i="20"/>
  <c r="G10" i="32"/>
  <c r="I10" i="32"/>
  <c r="F12" i="33"/>
  <c r="C32" i="34"/>
  <c r="D32" i="34"/>
  <c r="F12" i="34"/>
  <c r="B31" i="34"/>
  <c r="E31" i="34"/>
  <c r="G26" i="20"/>
  <c r="H26" i="20"/>
  <c r="O101" i="10"/>
  <c r="B10" i="32"/>
  <c r="G8" i="20"/>
  <c r="H8" i="20"/>
  <c r="G9" i="32"/>
  <c r="I9" i="32"/>
  <c r="C92" i="13"/>
  <c r="C88" i="13"/>
  <c r="C84" i="13"/>
  <c r="C80" i="13"/>
  <c r="C76" i="13"/>
  <c r="D29" i="16"/>
  <c r="C29" i="16"/>
  <c r="C31" i="34"/>
  <c r="D31" i="34"/>
  <c r="D28" i="16"/>
  <c r="C28" i="16"/>
  <c r="C27" i="16"/>
  <c r="D27" i="16"/>
  <c r="D30" i="16"/>
  <c r="C30" i="16"/>
</calcChain>
</file>

<file path=xl/sharedStrings.xml><?xml version="1.0" encoding="utf-8"?>
<sst xmlns="http://schemas.openxmlformats.org/spreadsheetml/2006/main" count="1182" uniqueCount="526">
  <si>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</si>
  <si>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</si>
  <si>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</si>
  <si>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</si>
  <si>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</si>
  <si>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</si>
  <si>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</si>
  <si>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</si>
  <si>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</si>
  <si>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</si>
  <si>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</si>
  <si>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</si>
  <si>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</si>
  <si>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</si>
  <si>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</si>
  <si>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</si>
  <si>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</si>
  <si>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</si>
  <si>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</si>
  <si>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</si>
  <si>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</si>
  <si>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</si>
  <si>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</si>
  <si>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</si>
  <si>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</si>
  <si>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</si>
  <si>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</si>
  <si>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</si>
  <si>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</si>
  <si>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</si>
  <si>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</si>
  <si>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</si>
  <si>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</si>
  <si>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</si>
  <si>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</si>
  <si>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</si>
  <si>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</si>
  <si>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</si>
  <si>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</si>
  <si>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</si>
  <si>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</si>
  <si>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</si>
  <si>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</si>
  <si>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</si>
  <si>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</si>
  <si>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</si>
  <si>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</si>
  <si>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</si>
  <si>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</si>
  <si>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</si>
  <si>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</si>
  <si>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</si>
  <si>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</si>
  <si>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</si>
  <si>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</si>
  <si>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</si>
  <si>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</si>
  <si>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</si>
  <si>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</si>
  <si>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</si>
  <si>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</si>
  <si>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</si>
  <si>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</si>
  <si>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</si>
  <si>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</si>
  <si>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</si>
  <si>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</si>
  <si>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</si>
  <si>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</si>
  <si>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</si>
  <si>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</si>
  <si>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</si>
  <si>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</si>
  <si>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</si>
  <si>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</si>
  <si>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</si>
  <si>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</si>
  <si>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</si>
  <si>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</si>
  <si>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</si>
  <si>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</si>
  <si>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</si>
  <si>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</si>
  <si>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</si>
  <si>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</si>
  <si>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</si>
  <si>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</si>
  <si>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</si>
  <si>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</si>
  <si>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</si>
  <si>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</si>
  <si>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</si>
  <si>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</si>
  <si>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</si>
  <si>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</si>
  <si>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</si>
  <si>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</si>
  <si>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</si>
  <si>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</si>
  <si>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</si>
  <si>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</si>
  <si>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</si>
  <si>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</si>
  <si>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</si>
  <si>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</si>
  <si>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</si>
  <si>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</si>
  <si>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</si>
  <si>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</si>
  <si>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</si>
  <si>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Lønintervaller for skoleledere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</si>
  <si>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</si>
  <si>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</si>
  <si>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</si>
  <si>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</si>
  <si>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</si>
  <si>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</si>
  <si>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</si>
  <si>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</si>
  <si>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</si>
  <si>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</si>
  <si>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</si>
  <si>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Lønintervaller kostskoleledere</t>
  </si>
  <si>
    <t>Antal kostelever</t>
  </si>
  <si>
    <t>0-99</t>
  </si>
  <si>
    <t>0-24</t>
  </si>
  <si>
    <t>00-99</t>
  </si>
  <si>
    <t>25-59</t>
  </si>
  <si>
    <t>60 -</t>
  </si>
  <si>
    <t>00-349</t>
  </si>
  <si>
    <t>Afdelingsledere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</si>
  <si>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</si>
  <si>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</si>
  <si>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</si>
  <si>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</si>
  <si>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</si>
  <si>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</si>
  <si>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</si>
  <si>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Lønintervaller for viceskoleinspektører, afdelingsledere, afdelingsinspektører samt viceafdelingsinspektører</t>
  </si>
  <si>
    <t>Afdelingsinspektører v/ private gymnasier, grundskole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</si>
  <si>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</si>
  <si>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</si>
  <si>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</si>
  <si>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</si>
  <si>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</si>
  <si>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</si>
  <si>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</si>
  <si>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</si>
  <si>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</si>
  <si>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</si>
  <si>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</si>
  <si>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</si>
  <si>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</si>
  <si>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</si>
  <si>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</si>
  <si>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</si>
  <si>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</si>
  <si>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</si>
  <si>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</si>
  <si>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</si>
  <si>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</si>
  <si>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</si>
  <si>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</si>
  <si>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</si>
  <si>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</si>
  <si>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</si>
  <si>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Timelønnede pædagoger</t>
  </si>
  <si>
    <t>Ikke uddannede pædagoger</t>
  </si>
  <si>
    <t>Uddannede pædagoger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</si>
  <si>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</si>
  <si>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</si>
  <si>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</si>
  <si>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</si>
  <si>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</si>
  <si>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</si>
  <si>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</si>
  <si>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</si>
  <si>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</si>
  <si>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</si>
  <si>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</si>
  <si>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</si>
  <si>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</si>
  <si>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</si>
  <si>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</si>
  <si>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</si>
  <si>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</si>
  <si>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</si>
  <si>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</si>
  <si>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</si>
  <si>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</si>
  <si>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</si>
  <si>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</si>
  <si>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</si>
  <si>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</si>
  <si>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</si>
  <si>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</si>
  <si>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</si>
  <si>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</si>
  <si>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</si>
  <si>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</si>
  <si>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</si>
  <si>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</si>
  <si>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</si>
  <si>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</si>
  <si>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</si>
  <si>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</si>
  <si>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</si>
  <si>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</si>
  <si>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</si>
  <si>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</si>
  <si>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</si>
  <si>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</si>
  <si>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</si>
  <si>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</si>
  <si>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</si>
  <si>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</si>
  <si>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</si>
  <si>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</si>
  <si>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</si>
  <si>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</si>
  <si>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</si>
  <si>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</si>
  <si>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</si>
  <si>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</si>
  <si>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</si>
  <si>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</si>
  <si>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</si>
  <si>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</si>
  <si>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</si>
  <si>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</si>
  <si>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</si>
  <si>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</si>
  <si>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</si>
  <si>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</si>
  <si>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</si>
  <si>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</si>
  <si>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</si>
  <si>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</si>
  <si>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</si>
  <si>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</si>
  <si>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</si>
  <si>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</si>
  <si>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</si>
  <si>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 xml:space="preserve">Ved afskedigelse betales G-dage efter ovennævnte satser.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</si>
  <si>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</si>
  <si>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</si>
  <si>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</si>
  <si>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</si>
  <si>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</si>
  <si>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</si>
  <si>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</si>
  <si>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</si>
  <si>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</si>
  <si>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</si>
  <si>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</si>
  <si>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</si>
  <si>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</si>
  <si>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</si>
  <si>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</si>
  <si>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</si>
  <si>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</si>
  <si>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</si>
  <si>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</si>
  <si>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</si>
  <si>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</si>
  <si>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Uddannede pædagoer</t>
  </si>
  <si>
    <t>Anderledes pæd. Uddannede(Lukket gruppe)</t>
  </si>
  <si>
    <t>Ikke pædagoguddannede</t>
  </si>
  <si>
    <t>Ikke pædagoguddannede med PGU eller PAU</t>
  </si>
  <si>
    <t>27, 29, 31, 33, 36</t>
  </si>
  <si>
    <t>20, 23, 25, 27, 29, 31, 33, 36</t>
  </si>
  <si>
    <t>14, 15, 16, 17, 19</t>
  </si>
  <si>
    <t>20, 21, 24, 25, 27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</si>
  <si>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</si>
  <si>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</si>
  <si>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</si>
  <si>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</si>
  <si>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</si>
  <si>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</si>
  <si>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</si>
  <si>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</si>
  <si>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</si>
  <si>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</si>
  <si>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</si>
  <si>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</si>
  <si>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</si>
  <si>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</si>
  <si>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</si>
  <si>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</si>
  <si>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</si>
  <si>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</si>
  <si>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</si>
  <si>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</si>
  <si>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</si>
  <si>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</si>
  <si>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 xml:space="preserve">Ansatte med ret til tjenestemandspension, skal dog have supplerende pension i Lærernes Pension på 18% for lønddele, der overstiger slutskalatrin incl. 2 ekstra trin. For lærere: Skalatrin 42, for bhkl.ledere: trin 33. 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</si>
  <si>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</si>
  <si>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</si>
  <si>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</si>
  <si>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</si>
  <si>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</si>
  <si>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</si>
  <si>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</si>
  <si>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</si>
  <si>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</si>
  <si>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</si>
  <si>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</si>
  <si>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</si>
  <si>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</si>
  <si>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</si>
  <si>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</si>
  <si>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</si>
  <si>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</si>
  <si>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</si>
  <si>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</si>
  <si>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</si>
  <si>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</si>
  <si>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Ikke pædagoguddannede - herunder PGU/PAU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</si>
  <si>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</si>
  <si>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</si>
  <si>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</si>
  <si>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</si>
  <si>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</si>
  <si>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</si>
  <si>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Gruppelivspræmie øvrige ansatte (Aftale nr. 26001) - sats gældende fra 01/01/2016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</si>
  <si>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</si>
  <si>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</si>
  <si>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</si>
  <si>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</si>
  <si>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</si>
  <si>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</si>
  <si>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t>Tillæg til for skoleledere, viceskoleinspektører, afdelingsinspektører, viceafdelingsinspektører og afdelingsledere</t>
  </si>
  <si>
    <t>Midlertidigt løntillæg</t>
  </si>
  <si>
    <r>
      <t xml:space="preserve">Der kan - </t>
    </r>
    <r>
      <rPr>
        <b/>
        <i/>
        <sz val="11"/>
        <color theme="1"/>
        <rFont val="Arial"/>
        <family val="2"/>
      </rPr>
      <t>inden for lønintervallet</t>
    </r>
    <r>
      <rPr>
        <sz val="11"/>
        <color theme="1"/>
        <rFont val="Arial"/>
        <family val="2"/>
      </rPr>
      <t xml:space="preserve"> - aftales et midlertidigt løntillæg, når dette er begrundet i tidsbegrænset varetagelse af særlige funktioner eller opgaver.</t>
    </r>
  </si>
  <si>
    <t>Udover intervallønnen kan der aftales resultatløn samt aftale om honorering af særlig indsats - dette i henhold til bemyndigelsesskrivelser fra Undervisningsministeriet.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</si>
  <si>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</si>
  <si>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</si>
  <si>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</si>
  <si>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</si>
  <si>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OK 13-tillæg.</t>
  </si>
  <si>
    <t xml:space="preserve">For lærere og bh.kl.ledere med tjenestemandspension er de "pensionsgivende løndele" ikke nødvendigvis pensionsgivende, bortset fra soucheftillæg og  </t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</si>
  <si>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</si>
  <si>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</si>
  <si>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</si>
  <si>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</si>
  <si>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</si>
  <si>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</si>
  <si>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 xml:space="preserve">Tillæg til specialundervisning af svært handikappede elever, til hvem skolen modtager ekstra tilskud i henhold til Lov om friskoler og private grundskoler mv.§11, samt til støtteundervisning i dansk for tosprogede elever </t>
  </si>
  <si>
    <t>Arbejdstidsbestemte tillæg</t>
  </si>
  <si>
    <t>Løninterval</t>
  </si>
  <si>
    <t>Afdelingsledere ved en kostskoles boafdeling</t>
  </si>
  <si>
    <t>Resultatløn samt engangsvederlag</t>
  </si>
  <si>
    <t>Beløbsgrænse for engangsvederlag hvori der også er aftalt resultatløn</t>
  </si>
  <si>
    <t>Beløbsgrænse for engangsvederlag uden aftalt resultatløn</t>
  </si>
  <si>
    <t>Afhængig af beskæftigelsesgraden. Den pensionsberettigede løn er pensionsberettiget</t>
  </si>
  <si>
    <t>Afhængigt  af beskæftigelsesgraden. Pensionsgivende</t>
  </si>
  <si>
    <t>Overenskomsttillæg pr. 1. august 2015 (gælder IKKE lederere og lukkede grupper)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</si>
  <si>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</si>
  <si>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</si>
  <si>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</si>
  <si>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</si>
  <si>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</si>
  <si>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</si>
  <si>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</si>
  <si>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</si>
  <si>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</si>
  <si>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</si>
  <si>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</si>
  <si>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</si>
  <si>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</si>
  <si>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Sekretærer, IT-medarbejdere og andre administrative medarbejdere</t>
  </si>
  <si>
    <t>Denne løntabel gælder alene for ansatte, der har tilsluttet sig Landsoverenskomst 2015-2018 mellem Lilleskolernes sammenslutning og HK/Privat</t>
  </si>
  <si>
    <t>Afhængigt af beskæftigelsesgraden og pensiongivende</t>
  </si>
  <si>
    <t xml:space="preserve">Basisløn for sekretærer, IT-medarbejdere og andre adm. medarbejdere </t>
  </si>
  <si>
    <t>Strategi/langtidsplanlæg.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</si>
  <si>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</si>
  <si>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</si>
  <si>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</si>
  <si>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</si>
  <si>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</si>
  <si>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</si>
  <si>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</si>
  <si>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</si>
  <si>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</si>
  <si>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</si>
  <si>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</si>
  <si>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</si>
  <si>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Ansatte under 3F</t>
  </si>
  <si>
    <t>Samt andre gældende satser</t>
  </si>
  <si>
    <t>Beløb</t>
  </si>
  <si>
    <t>Beløb pr. år</t>
  </si>
  <si>
    <t>Grundbeløb pr. time</t>
  </si>
  <si>
    <t>Beløb pr. time</t>
  </si>
  <si>
    <t>Pensionsgivende løn pr. mdr.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</si>
  <si>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</si>
  <si>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</si>
  <si>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</si>
  <si>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</si>
  <si>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</si>
  <si>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</si>
  <si>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</si>
  <si>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</si>
  <si>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</si>
  <si>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</si>
  <si>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</si>
  <si>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</si>
  <si>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</si>
  <si>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</si>
  <si>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</si>
  <si>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</si>
  <si>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</si>
  <si>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</si>
  <si>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</si>
  <si>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</si>
  <si>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</si>
  <si>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</si>
  <si>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</si>
  <si>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</si>
  <si>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</si>
  <si>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</si>
  <si>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</si>
  <si>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</si>
  <si>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</si>
  <si>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</si>
  <si>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</si>
  <si>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</si>
  <si>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</si>
  <si>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</si>
  <si>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</si>
  <si>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</si>
  <si>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</si>
  <si>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</si>
  <si>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</si>
  <si>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</si>
  <si>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</si>
  <si>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</si>
  <si>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</si>
  <si>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</si>
  <si>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</si>
  <si>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</si>
  <si>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</si>
  <si>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</si>
  <si>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</si>
  <si>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</si>
  <si>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</si>
  <si>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</si>
  <si>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</si>
  <si>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</si>
  <si>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</si>
  <si>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</si>
  <si>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</si>
  <si>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</si>
  <si>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</si>
  <si>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</si>
  <si>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</si>
  <si>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Undervisningstillæg </t>
  </si>
  <si>
    <t>*) indtil 20.000 km pr. år derefter 1,94</t>
  </si>
  <si>
    <t>Time- og dagpenge</t>
  </si>
  <si>
    <t>Viceinspektører og viceafd.inspektører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</si>
  <si>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</si>
  <si>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</si>
  <si>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</si>
  <si>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</si>
  <si>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</si>
  <si>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</si>
  <si>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</si>
  <si>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</si>
  <si>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</si>
  <si>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</si>
  <si>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</si>
  <si>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</si>
  <si>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</si>
  <si>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</si>
  <si>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</si>
  <si>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</si>
  <si>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</si>
  <si>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>Rektorer, ledere og lærere ved gymnasieskoler</t>
  </si>
  <si>
    <t xml:space="preserve">Pensionsbidrag </t>
  </si>
  <si>
    <t>er reguleret med gældende reguleringsprocent</t>
  </si>
  <si>
    <t>Månedsløn til afd. ledere</t>
  </si>
  <si>
    <t>Overenskomsttillæg pr. 1 august 2015: kr. 2.000,- i grundbeløb pr. år. Pr. 1. april 2017 yderligere kr. 2.000,- i grundbeløb pr. år.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</si>
  <si>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</si>
  <si>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</si>
  <si>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</si>
  <si>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</si>
  <si>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</si>
  <si>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</si>
  <si>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</si>
  <si>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</si>
  <si>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</si>
  <si>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</si>
  <si>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Aftalt løn kr. 32.500,- pr. måned</t>
  </si>
  <si>
    <t>Godtgørelse for tjeneste på lørdage efter kl. 14:00, samt lørdage før kl. 14:00 såfremt  halvdelen af arb.tiden ligger efter kl. 14:00 plus Grundlovsdag efter kl. 12.00</t>
  </si>
  <si>
    <t>Bemærk:</t>
  </si>
  <si>
    <t>(i alt 8% fordelt over en  3-årig periode)</t>
  </si>
  <si>
    <t>Gældende fra 1. oktober 2018</t>
  </si>
  <si>
    <t>Denne løntabel er gældende indtil 31. december 2018</t>
  </si>
  <si>
    <t>Udover ændring i reguleringsprocenten er der ændringer  i læreroverenskomsten, 3F overenskomsten og i HK overenskomsten(Lilleskolerne).</t>
  </si>
  <si>
    <t>OK18-tillæg</t>
  </si>
  <si>
    <t xml:space="preserve">OK-2013 tillæg </t>
  </si>
  <si>
    <t xml:space="preserve">OK-2018 tillæg </t>
  </si>
  <si>
    <t>01/10/2018</t>
  </si>
  <si>
    <t>31.12.2018</t>
  </si>
  <si>
    <t>Supplerende pension: Opmærksomheden henledes på ansatte med ret til tjenestemandspension. Ansatte med ret til tjenestemandspension, skal have supplerende pension i Lærernes Pension på 18% for lønddele, der overstiger slutskalatrin incl. 2 ekstra trin. For lærere: Skalatrin 42, for bhkl.ledere: trin 33.  For løndele under slutskalatrin incl. 2 skalatrin skal supplerende pension indbetales med 17,3%, såfremt supplerende pension er aftalt.</t>
  </si>
  <si>
    <t xml:space="preserve">Aftalt løn kr. 31.500,- pr. Måned </t>
  </si>
  <si>
    <t>Pensionstilsvaret bliver 15% af den pensionsgivende løn på skalatrin 40 = 15% af kr. 31.087,08 pr. måned = kr. 4.663,06</t>
  </si>
  <si>
    <t>Skalatrinslønnen nærmest herunder på skalatrin 40: kr. 31.087,08 pr. måned.</t>
  </si>
  <si>
    <t>Skalatrinslønnen nærmest herunder på skalatrin 42: kr. 32.397,83 pr. måned.</t>
  </si>
  <si>
    <t>Pensionstilsvaret bliver 15% af den pensionsgivende løn på skalatrin 42 = 15% af kr. 32.397,83 pr. måned = kr. 4.859,68</t>
  </si>
  <si>
    <r>
      <t xml:space="preserve">Timelønnede </t>
    </r>
    <r>
      <rPr>
        <b/>
        <sz val="10"/>
        <color theme="1"/>
        <rFont val="Arial"/>
        <family val="2"/>
      </rPr>
      <t>- reguleret med gældende reguleringsprocent</t>
    </r>
  </si>
  <si>
    <t>Dansk Friskoleforening, Danmarks Private Skoler samt Deutche Schul- und spracherein,</t>
  </si>
  <si>
    <t xml:space="preserve">Arbejdstøj, teknisk service </t>
  </si>
  <si>
    <t>Kr. pr. år</t>
  </si>
  <si>
    <t>Ved fuldtidsansættelse</t>
  </si>
  <si>
    <t>gældende for perioden 1. oktober 2018 - 31. marts 2019</t>
  </si>
  <si>
    <t>0/04/2019</t>
  </si>
  <si>
    <t>Denne løntabel er reguleret med den nye reguleringsprocent på 7,4972.</t>
  </si>
  <si>
    <t>Afhængigt af beskæftigelsesgraden samt pensionsgivende for ansatte med Lærernes Pension</t>
  </si>
  <si>
    <t>Pensionsgivende for ansatte med Lærernes Pension</t>
  </si>
  <si>
    <t>Arbejdstidsbestemte tillæg i tilfælde af delt tjeneste.</t>
  </si>
  <si>
    <t>ATPbidrag fra 1. januar 2018(A-bidrag)</t>
  </si>
  <si>
    <r>
      <rPr>
        <b/>
        <sz val="10"/>
        <color theme="1"/>
        <rFont val="Arial"/>
        <family val="2"/>
      </rPr>
      <t>BEMÆRK</t>
    </r>
    <r>
      <rPr>
        <sz val="10"/>
        <color theme="1"/>
        <rFont val="Arial"/>
        <family val="2"/>
      </rPr>
      <t>: Ansatte på gymnasieskoler er omfattet af ATP F-bidrag. Se satserne under fanen "Gymnasieskoler"</t>
    </r>
  </si>
  <si>
    <t>ATPbidrag fra 1. januar 2018(F-bidrag)</t>
  </si>
  <si>
    <t>Udgivet d. 18. september 2018</t>
  </si>
  <si>
    <t xml:space="preserve">Grundbeløbet er pr. 1. oktober 2018 forhøjet med yderligere 0,53%. </t>
  </si>
  <si>
    <t>Ved forhøjelsen er det tidligere grundbeløb forhøjet med 0,53% og efterfølgende afrundet til nærmeste hele 10 kr., hvorved det nye grundbeløb er fremkommet.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</si>
</sst>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r_-;\-* #,##0.00\ _k_r_-;_-* &quot;-&quot;??\ _k_r_-;_-@_-"/>
    <numFmt numFmtId="164" formatCode="dd:mm:yyyy;@"/>
    <numFmt numFmtId="165" formatCode="0.0000"/>
    <numFmt numFmtId="166" formatCode="dd/mm/yy;@"/>
    <numFmt numFmtId="167" formatCode="_(* #,##0.00_);_(* \(#,##0.00\);_(* &quot;-&quot;??_);_(@_)"/>
    <numFmt numFmtId="168" formatCode="_(&quot;kr&quot;\ * #,##0.00_);_(&quot;kr&quot;\ * \(#,##0.00\);_(&quot;kr&quot;\ * &quot;-&quot;??_);_(@_)"/>
    <numFmt numFmtId="169" formatCode="_(&quot;kr&quot;\ * #,##0_);_(&quot;kr&quot;\ * \(#,##0\);_(&quot;kr&quot;\ * &quot;-&quot;??_);_(@_)"/>
  </numFmts>
  <fonts count="8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4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9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5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5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43" fontId="12" fillId="0" borderId="0" xfId="80" applyFont="1" applyBorder="1" applyAlignment="1">
      <alignment horizontal="right" vertical="center" wrapText="1"/>
    </xf>
    <xf numFmtId="43" fontId="12" fillId="3" borderId="0" xfId="80" applyFont="1" applyFill="1" applyBorder="1" applyAlignment="1">
      <alignment vertical="center"/>
    </xf>
    <xf numFmtId="43" fontId="12" fillId="0" borderId="0" xfId="80" applyFont="1" applyBorder="1" applyAlignment="1">
      <alignment horizontal="right" vertical="center"/>
    </xf>
    <xf numFmtId="43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/>
    </xf>
    <xf numFmtId="14" fontId="14" fillId="4" borderId="9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47" xfId="0" applyNumberFormat="1" applyFont="1" applyFill="1" applyBorder="1" applyAlignment="1">
      <alignment horizontal="center"/>
    </xf>
    <xf numFmtId="3" fontId="14" fillId="3" borderId="27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4" fontId="14" fillId="4" borderId="12" xfId="0" applyNumberFormat="1" applyFont="1" applyFill="1" applyBorder="1" applyAlignment="1">
      <alignment horizontal="center"/>
    </xf>
    <xf numFmtId="14" fontId="14" fillId="4" borderId="35" xfId="0" applyNumberFormat="1" applyFont="1" applyFill="1" applyBorder="1" applyAlignment="1">
      <alignment horizont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6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" fontId="32" fillId="0" borderId="31" xfId="0" applyNumberFormat="1" applyFont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 applyBorder="1" applyAlignment="1">
      <alignment horizontal="center" vertical="center"/>
    </xf>
    <xf numFmtId="4" fontId="40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40" fillId="0" borderId="0" xfId="709" applyFont="1" applyBorder="1"/>
    <xf numFmtId="0" fontId="40" fillId="0" borderId="0" xfId="709" applyBorder="1"/>
    <xf numFmtId="4" fontId="40" fillId="0" borderId="0" xfId="709" applyNumberFormat="1" applyBorder="1"/>
    <xf numFmtId="2" fontId="40" fillId="0" borderId="0" xfId="709" applyNumberFormat="1" applyBorder="1"/>
    <xf numFmtId="0" fontId="42" fillId="0" borderId="0" xfId="709" applyFont="1" applyBorder="1"/>
    <xf numFmtId="0" fontId="42" fillId="0" borderId="0" xfId="709" applyFont="1" applyBorder="1" applyAlignment="1">
      <alignment horizontal="center"/>
    </xf>
    <xf numFmtId="165" fontId="40" fillId="0" borderId="0" xfId="709" applyNumberFormat="1" applyBorder="1" applyAlignment="1">
      <alignment horizontal="center"/>
    </xf>
    <xf numFmtId="165" fontId="40" fillId="0" borderId="0" xfId="709" applyNumberFormat="1" applyBorder="1"/>
    <xf numFmtId="0" fontId="43" fillId="0" borderId="0" xfId="709" applyFont="1"/>
    <xf numFmtId="168" fontId="43" fillId="0" borderId="0" xfId="775" applyFont="1"/>
    <xf numFmtId="0" fontId="43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7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7" fontId="14" fillId="0" borderId="0" xfId="773" applyFont="1"/>
    <xf numFmtId="0" fontId="38" fillId="0" borderId="0" xfId="709" applyFont="1"/>
    <xf numFmtId="167" fontId="38" fillId="0" borderId="0" xfId="773" applyFont="1"/>
    <xf numFmtId="0" fontId="48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7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3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50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40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3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7" fontId="40" fillId="0" borderId="46" xfId="773" applyFont="1" applyBorder="1" applyAlignment="1">
      <alignment horizontal="center" wrapText="1"/>
    </xf>
    <xf numFmtId="167" fontId="40" fillId="0" borderId="34" xfId="773" applyFont="1" applyBorder="1" applyAlignment="1">
      <alignment horizontal="center" wrapText="1"/>
    </xf>
    <xf numFmtId="167" fontId="40" fillId="0" borderId="49" xfId="773" applyFont="1" applyBorder="1" applyAlignment="1">
      <alignment horizontal="center" wrapText="1"/>
    </xf>
    <xf numFmtId="4" fontId="40" fillId="0" borderId="44" xfId="709" applyNumberFormat="1" applyFont="1" applyBorder="1" applyAlignment="1">
      <alignment horizontal="center" wrapText="1"/>
    </xf>
    <xf numFmtId="2" fontId="40" fillId="0" borderId="49" xfId="709" applyNumberFormat="1" applyFont="1" applyBorder="1" applyAlignment="1">
      <alignment horizontal="center" wrapText="1"/>
    </xf>
    <xf numFmtId="4" fontId="40" fillId="0" borderId="49" xfId="709" applyNumberFormat="1" applyFont="1" applyBorder="1" applyAlignment="1">
      <alignment horizontal="center" wrapText="1"/>
    </xf>
    <xf numFmtId="167" fontId="40" fillId="0" borderId="43" xfId="773" applyFont="1" applyBorder="1" applyAlignment="1">
      <alignment horizontal="center" wrapText="1"/>
    </xf>
    <xf numFmtId="167" fontId="40" fillId="0" borderId="21" xfId="773" applyFont="1" applyBorder="1" applyAlignment="1">
      <alignment horizontal="center" wrapText="1"/>
    </xf>
    <xf numFmtId="167" fontId="40" fillId="0" borderId="50" xfId="773" applyFont="1" applyBorder="1" applyAlignment="1">
      <alignment horizontal="center" wrapText="1"/>
    </xf>
    <xf numFmtId="4" fontId="40" fillId="0" borderId="56" xfId="709" applyNumberFormat="1" applyFont="1" applyBorder="1" applyAlignment="1">
      <alignment horizontal="center" wrapText="1"/>
    </xf>
    <xf numFmtId="2" fontId="40" fillId="0" borderId="50" xfId="709" applyNumberFormat="1" applyFont="1" applyBorder="1" applyAlignment="1">
      <alignment horizontal="center" wrapText="1"/>
    </xf>
    <xf numFmtId="4" fontId="40" fillId="0" borderId="50" xfId="709" applyNumberFormat="1" applyFont="1" applyBorder="1" applyAlignment="1">
      <alignment horizontal="center" wrapText="1"/>
    </xf>
    <xf numFmtId="0" fontId="40" fillId="4" borderId="46" xfId="709" applyFont="1" applyFill="1" applyBorder="1" applyAlignment="1">
      <alignment horizontal="center" vertical="top" wrapText="1"/>
    </xf>
    <xf numFmtId="0" fontId="40" fillId="4" borderId="43" xfId="709" applyFont="1" applyFill="1" applyBorder="1" applyAlignment="1">
      <alignment horizontal="center" vertical="top" wrapText="1"/>
    </xf>
    <xf numFmtId="167" fontId="40" fillId="3" borderId="48" xfId="773" applyFont="1" applyFill="1" applyBorder="1" applyAlignment="1">
      <alignment horizontal="center" vertical="center" wrapText="1"/>
    </xf>
    <xf numFmtId="167" fontId="40" fillId="3" borderId="50" xfId="773" applyFont="1" applyFill="1" applyBorder="1" applyAlignment="1">
      <alignment horizontal="center" vertical="center" wrapText="1"/>
    </xf>
    <xf numFmtId="167" fontId="40" fillId="3" borderId="36" xfId="773" applyFont="1" applyFill="1" applyBorder="1" applyAlignment="1">
      <alignment horizontal="center" vertical="center" wrapText="1"/>
    </xf>
    <xf numFmtId="0" fontId="40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7" fontId="38" fillId="3" borderId="0" xfId="773" applyFont="1" applyFill="1" applyBorder="1" applyAlignment="1">
      <alignment wrapText="1"/>
    </xf>
    <xf numFmtId="0" fontId="43" fillId="3" borderId="0" xfId="709" applyFont="1" applyFill="1" applyBorder="1"/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168" fontId="38" fillId="0" borderId="0" xfId="775" applyFont="1"/>
    <xf numFmtId="0" fontId="42" fillId="4" borderId="49" xfId="709" applyFont="1" applyFill="1" applyBorder="1" applyAlignment="1">
      <alignment horizontal="left" vertical="top" wrapText="1"/>
    </xf>
    <xf numFmtId="0" fontId="42" fillId="4" borderId="50" xfId="709" applyFont="1" applyFill="1" applyBorder="1" applyAlignment="1">
      <alignment horizontal="left" vertical="top" wrapText="1"/>
    </xf>
    <xf numFmtId="0" fontId="42" fillId="4" borderId="44" xfId="709" applyFont="1" applyFill="1" applyBorder="1" applyAlignment="1">
      <alignment horizontal="left" vertical="top" wrapText="1"/>
    </xf>
    <xf numFmtId="0" fontId="42" fillId="4" borderId="56" xfId="709" applyFont="1" applyFill="1" applyBorder="1" applyAlignment="1">
      <alignment horizontal="left" vertical="top" wrapText="1"/>
    </xf>
    <xf numFmtId="167" fontId="40" fillId="0" borderId="0" xfId="773" applyFont="1" applyBorder="1" applyAlignment="1">
      <alignment wrapText="1"/>
    </xf>
    <xf numFmtId="4" fontId="40" fillId="0" borderId="0" xfId="709" applyNumberFormat="1" applyFont="1" applyBorder="1" applyAlignment="1">
      <alignment wrapText="1"/>
    </xf>
    <xf numFmtId="2" fontId="40" fillId="0" borderId="0" xfId="709" applyNumberFormat="1" applyFont="1" applyBorder="1" applyAlignment="1">
      <alignment wrapText="1"/>
    </xf>
    <xf numFmtId="0" fontId="42" fillId="3" borderId="0" xfId="709" applyFont="1" applyFill="1" applyBorder="1" applyAlignment="1">
      <alignment horizontal="left" vertical="top" wrapText="1"/>
    </xf>
    <xf numFmtId="0" fontId="40" fillId="0" borderId="0" xfId="709" applyFont="1"/>
    <xf numFmtId="10" fontId="38" fillId="3" borderId="0" xfId="774" applyNumberFormat="1" applyFont="1" applyFill="1" applyBorder="1" applyAlignment="1">
      <alignment horizontal="center" vertical="top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40" fillId="3" borderId="0" xfId="709" applyFont="1" applyFill="1" applyBorder="1" applyAlignment="1">
      <alignment horizontal="center"/>
    </xf>
    <xf numFmtId="4" fontId="40" fillId="3" borderId="0" xfId="709" applyNumberFormat="1" applyFont="1" applyFill="1" applyBorder="1" applyAlignment="1">
      <alignment horizontal="center"/>
    </xf>
    <xf numFmtId="14" fontId="42" fillId="4" borderId="41" xfId="709" applyNumberFormat="1" applyFont="1" applyFill="1" applyBorder="1" applyAlignment="1">
      <alignment horizontal="center" vertical="top"/>
    </xf>
    <xf numFmtId="14" fontId="42" fillId="4" borderId="41" xfId="774" applyNumberFormat="1" applyFont="1" applyFill="1" applyBorder="1" applyAlignment="1">
      <alignment horizontal="center" vertical="top"/>
    </xf>
    <xf numFmtId="14" fontId="42" fillId="4" borderId="42" xfId="709" applyNumberFormat="1" applyFont="1" applyFill="1" applyBorder="1" applyAlignment="1">
      <alignment horizontal="center" vertical="top"/>
    </xf>
    <xf numFmtId="14" fontId="42" fillId="4" borderId="23" xfId="709" applyNumberFormat="1" applyFont="1" applyFill="1" applyBorder="1" applyAlignment="1">
      <alignment horizontal="center" vertical="top"/>
    </xf>
    <xf numFmtId="14" fontId="42" fillId="4" borderId="16" xfId="709" applyNumberFormat="1" applyFont="1" applyFill="1" applyBorder="1" applyAlignment="1">
      <alignment horizontal="center" vertical="top"/>
    </xf>
    <xf numFmtId="14" fontId="42" fillId="4" borderId="17" xfId="774" applyNumberFormat="1" applyFont="1" applyFill="1" applyBorder="1" applyAlignment="1">
      <alignment horizontal="center" vertical="top"/>
    </xf>
    <xf numFmtId="14" fontId="42" fillId="4" borderId="41" xfId="709" applyNumberFormat="1" applyFont="1" applyFill="1" applyBorder="1" applyAlignment="1">
      <alignment horizontal="center" vertical="top" wrapText="1"/>
    </xf>
    <xf numFmtId="14" fontId="42" fillId="4" borderId="51" xfId="709" applyNumberFormat="1" applyFont="1" applyFill="1" applyBorder="1" applyAlignment="1">
      <alignment horizontal="center" vertical="top" wrapText="1"/>
    </xf>
    <xf numFmtId="14" fontId="42" fillId="4" borderId="53" xfId="709" applyNumberFormat="1" applyFont="1" applyFill="1" applyBorder="1" applyAlignment="1">
      <alignment horizontal="center" vertical="top" wrapText="1"/>
    </xf>
    <xf numFmtId="0" fontId="40" fillId="4" borderId="34" xfId="709" applyFont="1" applyFill="1" applyBorder="1" applyAlignment="1">
      <alignment horizontal="left" vertical="center" wrapText="1"/>
    </xf>
    <xf numFmtId="0" fontId="40" fillId="4" borderId="21" xfId="709" applyFont="1" applyFill="1" applyBorder="1" applyAlignment="1">
      <alignment horizontal="left" vertical="center" wrapText="1"/>
    </xf>
    <xf numFmtId="0" fontId="40" fillId="4" borderId="62" xfId="709" applyFont="1" applyFill="1" applyBorder="1" applyAlignment="1">
      <alignment horizontal="left" vertical="top" wrapText="1"/>
    </xf>
    <xf numFmtId="0" fontId="40" fillId="4" borderId="50" xfId="709" applyFont="1" applyFill="1" applyBorder="1" applyAlignment="1">
      <alignment horizontal="left" vertical="top" wrapText="1"/>
    </xf>
    <xf numFmtId="0" fontId="42" fillId="4" borderId="34" xfId="709" applyFont="1" applyFill="1" applyBorder="1" applyAlignment="1">
      <alignment horizontal="left"/>
    </xf>
    <xf numFmtId="0" fontId="42" fillId="4" borderId="2" xfId="709" applyFont="1" applyFill="1" applyBorder="1"/>
    <xf numFmtId="14" fontId="42" fillId="4" borderId="51" xfId="0" applyNumberFormat="1" applyFont="1" applyFill="1" applyBorder="1" applyAlignment="1">
      <alignment horizontal="center"/>
    </xf>
    <xf numFmtId="14" fontId="42" fillId="4" borderId="41" xfId="0" applyNumberFormat="1" applyFont="1" applyFill="1" applyBorder="1" applyAlignment="1">
      <alignment horizontal="center"/>
    </xf>
    <xf numFmtId="14" fontId="42" fillId="4" borderId="53" xfId="0" applyNumberFormat="1" applyFont="1" applyFill="1" applyBorder="1" applyAlignment="1">
      <alignment horizontal="center"/>
    </xf>
    <xf numFmtId="0" fontId="42" fillId="4" borderId="44" xfId="709" applyFont="1" applyFill="1" applyBorder="1" applyAlignment="1">
      <alignment horizontal="left"/>
    </xf>
    <xf numFmtId="0" fontId="42" fillId="4" borderId="47" xfId="709" applyFont="1" applyFill="1" applyBorder="1"/>
    <xf numFmtId="0" fontId="42" fillId="4" borderId="44" xfId="709" applyFont="1" applyFill="1" applyBorder="1"/>
    <xf numFmtId="0" fontId="42" fillId="4" borderId="56" xfId="709" applyFont="1" applyFill="1" applyBorder="1" applyAlignment="1">
      <alignment horizontal="left"/>
    </xf>
    <xf numFmtId="0" fontId="42" fillId="4" borderId="48" xfId="709" applyFont="1" applyFill="1" applyBorder="1"/>
    <xf numFmtId="0" fontId="40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40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40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40" fillId="3" borderId="0" xfId="709" applyFill="1"/>
    <xf numFmtId="4" fontId="40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40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0" fontId="33" fillId="6" borderId="16" xfId="0" applyFont="1" applyFill="1" applyBorder="1" applyAlignment="1">
      <alignment vertical="center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8" borderId="17" xfId="0" applyFont="1" applyFill="1" applyBorder="1" applyAlignment="1">
      <alignment horizontal="center" wrapText="1"/>
    </xf>
    <xf numFmtId="14" fontId="33" fillId="8" borderId="43" xfId="0" applyNumberFormat="1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8" fillId="0" borderId="0" xfId="709" applyFont="1" applyBorder="1" applyAlignment="1"/>
    <xf numFmtId="169" fontId="40" fillId="3" borderId="0" xfId="775" applyNumberFormat="1" applyFont="1" applyFill="1" applyBorder="1" applyAlignment="1"/>
    <xf numFmtId="4" fontId="40" fillId="0" borderId="62" xfId="773" applyNumberFormat="1" applyFont="1" applyBorder="1" applyAlignment="1">
      <alignment horizontal="center" wrapText="1"/>
    </xf>
    <xf numFmtId="4" fontId="40" fillId="0" borderId="14" xfId="773" applyNumberFormat="1" applyFont="1" applyBorder="1" applyAlignment="1">
      <alignment horizontal="center" wrapText="1"/>
    </xf>
    <xf numFmtId="4" fontId="40" fillId="0" borderId="62" xfId="709" applyNumberFormat="1" applyFont="1" applyBorder="1" applyAlignment="1">
      <alignment horizontal="center" wrapText="1"/>
    </xf>
    <xf numFmtId="4" fontId="40" fillId="0" borderId="13" xfId="709" applyNumberFormat="1" applyFont="1" applyBorder="1" applyAlignment="1">
      <alignment horizontal="center" wrapText="1"/>
    </xf>
    <xf numFmtId="4" fontId="40" fillId="0" borderId="15" xfId="709" applyNumberFormat="1" applyFont="1" applyBorder="1" applyAlignment="1">
      <alignment horizontal="center" wrapText="1"/>
    </xf>
    <xf numFmtId="4" fontId="40" fillId="0" borderId="49" xfId="773" applyNumberFormat="1" applyFont="1" applyBorder="1" applyAlignment="1">
      <alignment horizontal="center" wrapText="1"/>
    </xf>
    <xf numFmtId="4" fontId="40" fillId="0" borderId="47" xfId="773" applyNumberFormat="1" applyFont="1" applyBorder="1" applyAlignment="1">
      <alignment horizontal="center" wrapText="1"/>
    </xf>
    <xf numFmtId="4" fontId="40" fillId="0" borderId="27" xfId="709" applyNumberFormat="1" applyFont="1" applyBorder="1" applyAlignment="1">
      <alignment horizontal="center" wrapText="1"/>
    </xf>
    <xf numFmtId="4" fontId="40" fillId="0" borderId="50" xfId="773" applyNumberFormat="1" applyFont="1" applyBorder="1" applyAlignment="1">
      <alignment horizontal="center" wrapText="1"/>
    </xf>
    <xf numFmtId="4" fontId="40" fillId="0" borderId="48" xfId="773" applyNumberFormat="1" applyFont="1" applyBorder="1" applyAlignment="1">
      <alignment horizontal="center" wrapText="1"/>
    </xf>
    <xf numFmtId="4" fontId="40" fillId="0" borderId="36" xfId="709" applyNumberFormat="1" applyFont="1" applyBorder="1" applyAlignment="1">
      <alignment horizontal="center" wrapText="1"/>
    </xf>
    <xf numFmtId="2" fontId="40" fillId="3" borderId="46" xfId="0" applyNumberFormat="1" applyFont="1" applyFill="1" applyBorder="1" applyAlignment="1">
      <alignment horizontal="center" vertical="center" wrapText="1" shrinkToFit="1"/>
    </xf>
    <xf numFmtId="2" fontId="40" fillId="0" borderId="46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40" fillId="3" borderId="49" xfId="0" applyNumberFormat="1" applyFont="1" applyFill="1" applyBorder="1" applyAlignment="1">
      <alignment horizontal="center" vertical="center" wrapText="1" shrinkToFit="1"/>
    </xf>
    <xf numFmtId="2" fontId="40" fillId="0" borderId="49" xfId="0" applyNumberFormat="1" applyFont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40" fillId="3" borderId="50" xfId="0" applyNumberFormat="1" applyFont="1" applyFill="1" applyBorder="1" applyAlignment="1">
      <alignment horizontal="center" vertical="center" wrapText="1" shrinkToFit="1"/>
    </xf>
    <xf numFmtId="2" fontId="40" fillId="0" borderId="50" xfId="0" applyNumberFormat="1" applyFont="1" applyBorder="1" applyAlignment="1">
      <alignment horizontal="center"/>
    </xf>
    <xf numFmtId="2" fontId="40" fillId="0" borderId="36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wrapText="1"/>
    </xf>
    <xf numFmtId="4" fontId="40" fillId="0" borderId="46" xfId="709" applyNumberFormat="1" applyFont="1" applyBorder="1" applyAlignment="1">
      <alignment horizontal="center" wrapText="1"/>
    </xf>
    <xf numFmtId="4" fontId="40" fillId="0" borderId="34" xfId="0" applyNumberFormat="1" applyFont="1" applyBorder="1" applyAlignment="1">
      <alignment horizontal="center"/>
    </xf>
    <xf numFmtId="4" fontId="40" fillId="0" borderId="46" xfId="0" applyNumberFormat="1" applyFont="1" applyBorder="1" applyAlignment="1">
      <alignment horizontal="center"/>
    </xf>
    <xf numFmtId="4" fontId="40" fillId="0" borderId="45" xfId="0" applyNumberFormat="1" applyFont="1" applyBorder="1" applyAlignment="1">
      <alignment horizontal="center"/>
    </xf>
    <xf numFmtId="4" fontId="40" fillId="0" borderId="44" xfId="0" applyNumberFormat="1" applyFont="1" applyBorder="1" applyAlignment="1">
      <alignment horizontal="center"/>
    </xf>
    <xf numFmtId="4" fontId="40" fillId="0" borderId="27" xfId="0" applyNumberFormat="1" applyFont="1" applyBorder="1" applyAlignment="1">
      <alignment horizontal="center"/>
    </xf>
    <xf numFmtId="4" fontId="40" fillId="0" borderId="56" xfId="0" applyNumberFormat="1" applyFont="1" applyBorder="1" applyAlignment="1">
      <alignment horizontal="center"/>
    </xf>
    <xf numFmtId="4" fontId="40" fillId="0" borderId="50" xfId="0" applyNumberFormat="1" applyFont="1" applyBorder="1" applyAlignment="1">
      <alignment horizontal="center"/>
    </xf>
    <xf numFmtId="4" fontId="40" fillId="0" borderId="36" xfId="0" applyNumberFormat="1" applyFont="1" applyBorder="1" applyAlignment="1">
      <alignment horizontal="center"/>
    </xf>
    <xf numFmtId="4" fontId="40" fillId="3" borderId="24" xfId="773" applyNumberFormat="1" applyFont="1" applyFill="1" applyBorder="1" applyAlignment="1">
      <alignment horizontal="center" wrapText="1"/>
    </xf>
    <xf numFmtId="4" fontId="40" fillId="3" borderId="43" xfId="773" applyNumberFormat="1" applyFont="1" applyFill="1" applyBorder="1" applyAlignment="1">
      <alignment horizontal="center" wrapText="1"/>
    </xf>
    <xf numFmtId="4" fontId="40" fillId="3" borderId="22" xfId="773" applyNumberFormat="1" applyFont="1" applyFill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40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42" fillId="3" borderId="0" xfId="709" applyFont="1" applyFill="1" applyBorder="1" applyAlignment="1">
      <alignment horizontal="left"/>
    </xf>
    <xf numFmtId="0" fontId="42" fillId="3" borderId="0" xfId="709" applyFont="1" applyFill="1" applyBorder="1"/>
    <xf numFmtId="0" fontId="38" fillId="0" borderId="0" xfId="709" applyFont="1" applyAlignment="1">
      <alignment horizontal="left"/>
    </xf>
    <xf numFmtId="0" fontId="48" fillId="0" borderId="0" xfId="709" applyFont="1" applyAlignment="1">
      <alignment horizontal="left" vertical="top"/>
    </xf>
    <xf numFmtId="4" fontId="40" fillId="3" borderId="24" xfId="773" applyNumberFormat="1" applyFont="1" applyFill="1" applyBorder="1" applyAlignment="1">
      <alignment horizontal="center" vertical="center" wrapText="1"/>
    </xf>
    <xf numFmtId="4" fontId="40" fillId="3" borderId="43" xfId="773" applyNumberFormat="1" applyFont="1" applyFill="1" applyBorder="1" applyAlignment="1">
      <alignment horizontal="center" vertical="center" wrapText="1"/>
    </xf>
    <xf numFmtId="4" fontId="40" fillId="3" borderId="22" xfId="773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55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5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12" fillId="3" borderId="0" xfId="0" applyFont="1" applyFill="1" applyBorder="1" applyAlignment="1">
      <alignment vertical="center" wrapText="1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43" fillId="0" borderId="0" xfId="709" applyFont="1" applyBorder="1"/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6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0" fontId="12" fillId="3" borderId="22" xfId="0" applyFont="1" applyFill="1" applyBorder="1"/>
    <xf numFmtId="0" fontId="14" fillId="0" borderId="5" xfId="0" applyFont="1" applyBorder="1"/>
    <xf numFmtId="0" fontId="12" fillId="3" borderId="9" xfId="0" applyFont="1" applyFill="1" applyBorder="1"/>
    <xf numFmtId="0" fontId="12" fillId="3" borderId="10" xfId="0" applyFont="1" applyFill="1" applyBorder="1"/>
    <xf numFmtId="3" fontId="12" fillId="3" borderId="18" xfId="0" applyNumberFormat="1" applyFont="1" applyFill="1" applyBorder="1"/>
    <xf numFmtId="0" fontId="14" fillId="0" borderId="6" xfId="0" applyFont="1" applyBorder="1"/>
    <xf numFmtId="0" fontId="12" fillId="3" borderId="11" xfId="0" applyFont="1" applyFill="1" applyBorder="1"/>
    <xf numFmtId="3" fontId="14" fillId="0" borderId="26" xfId="0" applyNumberFormat="1" applyFont="1" applyBorder="1"/>
    <xf numFmtId="43" fontId="14" fillId="0" borderId="6" xfId="80" applyFont="1" applyBorder="1"/>
    <xf numFmtId="43" fontId="14" fillId="0" borderId="11" xfId="80" applyFont="1" applyBorder="1"/>
    <xf numFmtId="14" fontId="13" fillId="4" borderId="31" xfId="0" applyNumberFormat="1" applyFont="1" applyFill="1" applyBorder="1" applyAlignment="1">
      <alignment horizontal="center"/>
    </xf>
    <xf numFmtId="0" fontId="50" fillId="3" borderId="0" xfId="709" applyFont="1" applyFill="1" applyBorder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7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23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4" borderId="46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4" fontId="64" fillId="3" borderId="46" xfId="709" applyNumberFormat="1" applyFont="1" applyFill="1" applyBorder="1" applyAlignment="1">
      <alignment horizontal="center" vertical="center"/>
    </xf>
    <xf numFmtId="4" fontId="64" fillId="3" borderId="0" xfId="709" applyNumberFormat="1" applyFont="1" applyFill="1" applyBorder="1" applyAlignment="1">
      <alignment vertical="center"/>
    </xf>
    <xf numFmtId="2" fontId="64" fillId="0" borderId="0" xfId="709" applyNumberFormat="1" applyFont="1"/>
    <xf numFmtId="0" fontId="64" fillId="0" borderId="0" xfId="709" applyFont="1"/>
    <xf numFmtId="0" fontId="16" fillId="4" borderId="50" xfId="0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/>
    </xf>
    <xf numFmtId="4" fontId="16" fillId="0" borderId="50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64" fillId="3" borderId="43" xfId="709" applyNumberFormat="1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/>
    </xf>
    <xf numFmtId="4" fontId="16" fillId="0" borderId="47" xfId="0" applyNumberFormat="1" applyFont="1" applyBorder="1" applyAlignment="1">
      <alignment horizontal="center"/>
    </xf>
    <xf numFmtId="4" fontId="16" fillId="0" borderId="44" xfId="0" applyNumberFormat="1" applyFont="1" applyBorder="1" applyAlignment="1">
      <alignment horizontal="center"/>
    </xf>
    <xf numFmtId="0" fontId="64" fillId="4" borderId="49" xfId="709" applyFont="1" applyFill="1" applyBorder="1" applyAlignment="1">
      <alignment horizontal="center"/>
    </xf>
    <xf numFmtId="4" fontId="64" fillId="0" borderId="47" xfId="709" applyNumberFormat="1" applyFont="1" applyBorder="1" applyAlignment="1">
      <alignment horizontal="center"/>
    </xf>
    <xf numFmtId="0" fontId="64" fillId="4" borderId="50" xfId="709" applyFont="1" applyFill="1" applyBorder="1" applyAlignment="1">
      <alignment horizontal="center"/>
    </xf>
    <xf numFmtId="4" fontId="64" fillId="0" borderId="48" xfId="709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" fontId="16" fillId="0" borderId="6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2" fontId="64" fillId="3" borderId="0" xfId="709" applyNumberFormat="1" applyFont="1" applyFill="1" applyBorder="1"/>
    <xf numFmtId="4" fontId="16" fillId="3" borderId="0" xfId="0" applyNumberFormat="1" applyFont="1" applyFill="1" applyBorder="1" applyAlignment="1"/>
    <xf numFmtId="0" fontId="64" fillId="3" borderId="0" xfId="709" applyFont="1" applyFill="1" applyBorder="1"/>
    <xf numFmtId="0" fontId="16" fillId="4" borderId="44" xfId="0" applyFont="1" applyFill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0" fontId="16" fillId="4" borderId="56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10" fontId="17" fillId="4" borderId="52" xfId="0" applyNumberFormat="1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14" fontId="17" fillId="4" borderId="43" xfId="0" applyNumberFormat="1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43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0" fontId="40" fillId="4" borderId="34" xfId="709" applyFont="1" applyFill="1" applyBorder="1" applyAlignment="1">
      <alignment horizontal="left" vertical="top" wrapText="1"/>
    </xf>
    <xf numFmtId="14" fontId="42" fillId="4" borderId="43" xfId="709" applyNumberFormat="1" applyFont="1" applyFill="1" applyBorder="1" applyAlignment="1">
      <alignment horizontal="center" vertical="top" wrapText="1"/>
    </xf>
    <xf numFmtId="14" fontId="42" fillId="4" borderId="31" xfId="0" applyNumberFormat="1" applyFont="1" applyFill="1" applyBorder="1" applyAlignment="1">
      <alignment horizontal="center" vertical="center" wrapText="1" shrinkToFit="1"/>
    </xf>
    <xf numFmtId="14" fontId="42" fillId="4" borderId="32" xfId="0" applyNumberFormat="1" applyFont="1" applyFill="1" applyBorder="1" applyAlignment="1">
      <alignment horizontal="center"/>
    </xf>
    <xf numFmtId="14" fontId="42" fillId="4" borderId="55" xfId="0" applyNumberFormat="1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5" fillId="0" borderId="46" xfId="709" applyFont="1" applyBorder="1" applyAlignment="1">
      <alignment horizontal="center" vertical="top" wrapText="1"/>
    </xf>
    <xf numFmtId="167" fontId="64" fillId="0" borderId="46" xfId="773" applyFont="1" applyBorder="1" applyAlignment="1">
      <alignment horizontal="center" wrapText="1"/>
    </xf>
    <xf numFmtId="167" fontId="64" fillId="0" borderId="49" xfId="773" applyFont="1" applyBorder="1" applyAlignment="1">
      <alignment horizontal="center" wrapText="1"/>
    </xf>
    <xf numFmtId="167" fontId="64" fillId="0" borderId="62" xfId="773" applyFont="1" applyBorder="1" applyAlignment="1">
      <alignment horizontal="center" wrapText="1"/>
    </xf>
    <xf numFmtId="167" fontId="64" fillId="0" borderId="27" xfId="773" applyFont="1" applyBorder="1" applyAlignment="1">
      <alignment horizontal="center" wrapText="1"/>
    </xf>
    <xf numFmtId="0" fontId="64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9" fillId="9" borderId="4" xfId="709" applyFont="1" applyFill="1" applyBorder="1" applyAlignment="1">
      <alignment horizontal="center" vertical="top" wrapText="1"/>
    </xf>
    <xf numFmtId="0" fontId="69" fillId="9" borderId="26" xfId="709" applyFont="1" applyFill="1" applyBorder="1" applyAlignment="1">
      <alignment horizontal="center" vertical="top" wrapText="1"/>
    </xf>
    <xf numFmtId="0" fontId="69" fillId="9" borderId="15" xfId="709" applyFont="1" applyFill="1" applyBorder="1" applyAlignment="1">
      <alignment horizontal="center" vertical="top" wrapText="1"/>
    </xf>
    <xf numFmtId="167" fontId="64" fillId="0" borderId="4" xfId="773" applyFont="1" applyBorder="1" applyAlignment="1">
      <alignment horizontal="justify" wrapText="1"/>
    </xf>
    <xf numFmtId="167" fontId="64" fillId="0" borderId="26" xfId="773" applyFont="1" applyBorder="1" applyAlignment="1">
      <alignment horizontal="justify" wrapText="1"/>
    </xf>
    <xf numFmtId="167" fontId="64" fillId="0" borderId="15" xfId="773" applyFont="1" applyBorder="1" applyAlignment="1">
      <alignment horizontal="justify" wrapText="1"/>
    </xf>
    <xf numFmtId="167" fontId="64" fillId="0" borderId="31" xfId="773" applyFont="1" applyBorder="1" applyAlignment="1">
      <alignment horizontal="justify" wrapText="1"/>
    </xf>
    <xf numFmtId="167" fontId="64" fillId="0" borderId="32" xfId="773" applyFont="1" applyBorder="1" applyAlignment="1">
      <alignment horizontal="justify" wrapText="1"/>
    </xf>
    <xf numFmtId="167" fontId="64" fillId="0" borderId="22" xfId="773" applyFont="1" applyBorder="1" applyAlignment="1">
      <alignment horizontal="justify" wrapText="1"/>
    </xf>
    <xf numFmtId="0" fontId="64" fillId="0" borderId="0" xfId="709" applyFont="1" applyBorder="1" applyAlignment="1">
      <alignment horizontal="center"/>
    </xf>
    <xf numFmtId="167" fontId="64" fillId="0" borderId="0" xfId="773" applyFont="1" applyBorder="1" applyAlignment="1">
      <alignment horizontal="justify" wrapText="1"/>
    </xf>
    <xf numFmtId="0" fontId="68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33" fillId="8" borderId="4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9" fontId="17" fillId="4" borderId="43" xfId="0" applyNumberFormat="1" applyFont="1" applyFill="1" applyBorder="1" applyAlignment="1">
      <alignment horizontal="center"/>
    </xf>
    <xf numFmtId="4" fontId="40" fillId="0" borderId="49" xfId="709" applyNumberFormat="1" applyFon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14" fillId="0" borderId="1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6" fillId="0" borderId="0" xfId="0" applyFont="1"/>
    <xf numFmtId="4" fontId="14" fillId="0" borderId="8" xfId="0" applyNumberFormat="1" applyFont="1" applyBorder="1" applyAlignment="1">
      <alignment vertical="center"/>
    </xf>
    <xf numFmtId="43" fontId="14" fillId="0" borderId="15" xfId="80" quotePrefix="1" applyFont="1" applyBorder="1" applyAlignment="1">
      <alignment horizontal="center" vertical="center"/>
    </xf>
    <xf numFmtId="43" fontId="14" fillId="0" borderId="27" xfId="80" quotePrefix="1" applyFont="1" applyBorder="1" applyAlignment="1">
      <alignment horizontal="center" vertical="center"/>
    </xf>
    <xf numFmtId="43" fontId="14" fillId="0" borderId="36" xfId="80" quotePrefix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12" fillId="0" borderId="4" xfId="0" applyFont="1" applyBorder="1"/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31" fillId="3" borderId="0" xfId="0" applyFont="1" applyFill="1" applyBorder="1" applyAlignment="1" applyProtection="1">
      <alignment horizontal="center"/>
      <protection locked="0"/>
    </xf>
    <xf numFmtId="0" fontId="65" fillId="0" borderId="62" xfId="709" applyFont="1" applyBorder="1" applyAlignment="1">
      <alignment horizontal="center" wrapText="1"/>
    </xf>
    <xf numFmtId="0" fontId="80" fillId="0" borderId="0" xfId="0" applyFont="1"/>
    <xf numFmtId="0" fontId="43" fillId="0" borderId="0" xfId="709" applyFont="1" applyBorder="1" applyAlignment="1" applyProtection="1">
      <protection locked="0"/>
    </xf>
    <xf numFmtId="0" fontId="80" fillId="0" borderId="0" xfId="0" applyFont="1" applyAlignment="1">
      <alignment horizontal="left" vertical="center" wrapText="1"/>
    </xf>
    <xf numFmtId="0" fontId="75" fillId="3" borderId="0" xfId="0" applyFont="1" applyFill="1" applyBorder="1" applyAlignment="1">
      <alignment horizontal="center" vertical="center" wrapText="1"/>
    </xf>
    <xf numFmtId="4" fontId="80" fillId="0" borderId="0" xfId="0" applyNumberFormat="1" applyFont="1" applyBorder="1" applyAlignment="1">
      <alignment horizontal="center"/>
    </xf>
    <xf numFmtId="4" fontId="80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70" fillId="0" borderId="0" xfId="0" applyNumberFormat="1" applyFont="1" applyBorder="1" applyAlignment="1"/>
    <xf numFmtId="0" fontId="73" fillId="0" borderId="0" xfId="0" applyFont="1" applyBorder="1"/>
    <xf numFmtId="0" fontId="3" fillId="0" borderId="0" xfId="0" applyFont="1" applyProtection="1">
      <protection locked="0"/>
    </xf>
    <xf numFmtId="0" fontId="84" fillId="3" borderId="0" xfId="0" applyFont="1" applyFill="1" applyBorder="1" applyAlignment="1">
      <alignment horizontal="center" vertical="center" wrapText="1"/>
    </xf>
    <xf numFmtId="0" fontId="40" fillId="0" borderId="23" xfId="709" applyFont="1" applyBorder="1" applyAlignment="1">
      <alignment horizontal="left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5" fillId="0" borderId="54" xfId="709" applyFont="1" applyBorder="1" applyAlignment="1">
      <alignment horizontal="center" vertical="top" wrapText="1"/>
    </xf>
    <xf numFmtId="167" fontId="64" fillId="0" borderId="54" xfId="773" applyFont="1" applyBorder="1" applyAlignment="1">
      <alignment horizontal="center" wrapText="1"/>
    </xf>
    <xf numFmtId="167" fontId="64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4" fillId="4" borderId="47" xfId="709" applyFont="1" applyFill="1" applyBorder="1" applyAlignment="1"/>
    <xf numFmtId="0" fontId="64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4" fontId="80" fillId="0" borderId="24" xfId="0" applyNumberFormat="1" applyFont="1" applyBorder="1" applyAlignment="1">
      <alignment horizontal="right"/>
    </xf>
    <xf numFmtId="0" fontId="80" fillId="4" borderId="43" xfId="0" applyFont="1" applyFill="1" applyBorder="1" applyAlignment="1">
      <alignment horizontal="center" vertical="center"/>
    </xf>
    <xf numFmtId="4" fontId="80" fillId="0" borderId="77" xfId="0" applyNumberFormat="1" applyFont="1" applyBorder="1" applyAlignment="1">
      <alignment horizontal="center"/>
    </xf>
    <xf numFmtId="4" fontId="80" fillId="0" borderId="78" xfId="0" applyNumberFormat="1" applyFont="1" applyBorder="1" applyAlignment="1">
      <alignment horizontal="center"/>
    </xf>
    <xf numFmtId="4" fontId="80" fillId="0" borderId="77" xfId="0" applyNumberFormat="1" applyFont="1" applyBorder="1" applyAlignment="1">
      <alignment horizontal="center"/>
    </xf>
    <xf numFmtId="14" fontId="82" fillId="8" borderId="18" xfId="0" applyNumberFormat="1" applyFont="1" applyFill="1" applyBorder="1" applyAlignment="1">
      <alignment horizontal="center" vertical="center" wrapText="1"/>
    </xf>
    <xf numFmtId="49" fontId="83" fillId="4" borderId="10" xfId="0" applyNumberFormat="1" applyFont="1" applyFill="1" applyBorder="1" applyAlignment="1">
      <alignment horizontal="center" vertical="center" wrapText="1"/>
    </xf>
    <xf numFmtId="4" fontId="80" fillId="3" borderId="10" xfId="0" applyNumberFormat="1" applyFont="1" applyFill="1" applyBorder="1" applyAlignment="1">
      <alignment horizontal="center"/>
    </xf>
    <xf numFmtId="4" fontId="80" fillId="3" borderId="11" xfId="0" applyNumberFormat="1" applyFont="1" applyFill="1" applyBorder="1" applyAlignment="1">
      <alignment horizontal="center"/>
    </xf>
    <xf numFmtId="0" fontId="77" fillId="4" borderId="50" xfId="0" applyFont="1" applyFill="1" applyBorder="1" applyAlignment="1">
      <alignment horizontal="center" vertical="center"/>
    </xf>
    <xf numFmtId="4" fontId="80" fillId="3" borderId="39" xfId="0" applyNumberFormat="1" applyFont="1" applyFill="1" applyBorder="1" applyAlignment="1">
      <alignment horizontal="center"/>
    </xf>
    <xf numFmtId="4" fontId="80" fillId="3" borderId="37" xfId="0" applyNumberFormat="1" applyFont="1" applyFill="1" applyBorder="1" applyAlignment="1">
      <alignment horizontal="center"/>
    </xf>
    <xf numFmtId="0" fontId="77" fillId="4" borderId="10" xfId="0" applyFont="1" applyFill="1" applyBorder="1" applyAlignment="1">
      <alignment horizontal="center" vertical="center" wrapText="1"/>
    </xf>
    <xf numFmtId="0" fontId="77" fillId="4" borderId="11" xfId="0" applyFont="1" applyFill="1" applyBorder="1" applyAlignment="1">
      <alignment horizontal="center" vertical="center" wrapText="1"/>
    </xf>
    <xf numFmtId="4" fontId="80" fillId="0" borderId="32" xfId="0" applyNumberFormat="1" applyFont="1" applyBorder="1" applyAlignment="1">
      <alignment horizontal="center"/>
    </xf>
    <xf numFmtId="14" fontId="82" fillId="8" borderId="9" xfId="0" applyNumberFormat="1" applyFont="1" applyFill="1" applyBorder="1" applyAlignment="1">
      <alignment horizontal="center" vertical="center" wrapText="1"/>
    </xf>
    <xf numFmtId="4" fontId="80" fillId="0" borderId="33" xfId="0" applyNumberFormat="1" applyFont="1" applyBorder="1" applyAlignment="1" applyProtection="1">
      <alignment horizontal="center"/>
      <protection locked="0"/>
    </xf>
    <xf numFmtId="4" fontId="80" fillId="0" borderId="18" xfId="0" applyNumberFormat="1" applyFont="1" applyBorder="1" applyAlignment="1" applyProtection="1">
      <alignment horizontal="center"/>
      <protection locked="0"/>
    </xf>
    <xf numFmtId="0" fontId="80" fillId="4" borderId="62" xfId="0" applyFont="1" applyFill="1" applyBorder="1" applyAlignment="1" applyProtection="1">
      <alignment horizontal="center" vertical="center"/>
      <protection locked="0"/>
    </xf>
    <xf numFmtId="0" fontId="80" fillId="4" borderId="50" xfId="0" applyFont="1" applyFill="1" applyBorder="1" applyAlignment="1" applyProtection="1">
      <alignment horizontal="center" vertical="center"/>
      <protection locked="0"/>
    </xf>
    <xf numFmtId="0" fontId="80" fillId="4" borderId="50" xfId="0" applyFont="1" applyFill="1" applyBorder="1" applyAlignment="1">
      <alignment horizontal="center" vertical="center" wrapText="1"/>
    </xf>
    <xf numFmtId="0" fontId="77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4" fillId="4" borderId="62" xfId="774" applyNumberFormat="1" applyFont="1" applyFill="1" applyBorder="1" applyAlignment="1">
      <alignment horizontal="center" vertical="center"/>
    </xf>
    <xf numFmtId="0" fontId="75" fillId="3" borderId="0" xfId="0" applyFont="1" applyFill="1" applyBorder="1" applyAlignment="1" applyProtection="1">
      <alignment vertical="top" wrapText="1"/>
    </xf>
    <xf numFmtId="0" fontId="80" fillId="4" borderId="41" xfId="0" applyFont="1" applyFill="1" applyBorder="1" applyAlignment="1">
      <alignment horizontal="center" vertical="center"/>
    </xf>
    <xf numFmtId="0" fontId="80" fillId="0" borderId="46" xfId="0" applyFont="1" applyBorder="1" applyAlignment="1">
      <alignment horizontal="center" vertical="center"/>
    </xf>
    <xf numFmtId="0" fontId="80" fillId="0" borderId="49" xfId="0" applyFont="1" applyBorder="1" applyAlignment="1">
      <alignment horizontal="center" vertical="center"/>
    </xf>
    <xf numFmtId="0" fontId="80" fillId="0" borderId="50" xfId="0" applyFont="1" applyBorder="1" applyAlignment="1">
      <alignment horizontal="center" vertical="center"/>
    </xf>
    <xf numFmtId="4" fontId="80" fillId="0" borderId="10" xfId="0" applyNumberFormat="1" applyFont="1" applyBorder="1" applyAlignment="1" applyProtection="1">
      <alignment horizontal="center"/>
    </xf>
    <xf numFmtId="4" fontId="80" fillId="0" borderId="39" xfId="0" applyNumberFormat="1" applyFont="1" applyBorder="1" applyAlignment="1" applyProtection="1">
      <alignment horizontal="center"/>
    </xf>
    <xf numFmtId="167" fontId="64" fillId="0" borderId="43" xfId="773" applyFont="1" applyBorder="1" applyAlignment="1">
      <alignment horizontal="center" vertical="center" wrapText="1"/>
    </xf>
    <xf numFmtId="167" fontId="64" fillId="0" borderId="36" xfId="773" applyFont="1" applyBorder="1" applyAlignment="1">
      <alignment horizontal="center" vertical="center" wrapText="1"/>
    </xf>
    <xf numFmtId="10" fontId="74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86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48" fillId="0" borderId="0" xfId="709" applyFont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left" vertical="center" wrapText="1" shrinkToFit="1"/>
    </xf>
    <xf numFmtId="14" fontId="12" fillId="0" borderId="9" xfId="0" applyNumberFormat="1" applyFont="1" applyBorder="1" applyAlignment="1">
      <alignment horizontal="center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8" xfId="0" applyFont="1" applyBorder="1"/>
    <xf numFmtId="0" fontId="12" fillId="0" borderId="11" xfId="0" applyFont="1" applyBorder="1"/>
    <xf numFmtId="43" fontId="40" fillId="0" borderId="50" xfId="80" applyFont="1" applyBorder="1" applyAlignment="1">
      <alignment vertical="center" wrapText="1"/>
    </xf>
    <xf numFmtId="43" fontId="40" fillId="0" borderId="44" xfId="80" applyFont="1" applyBorder="1" applyAlignment="1">
      <alignment vertical="center" wrapText="1"/>
    </xf>
    <xf numFmtId="43" fontId="40" fillId="0" borderId="49" xfId="80" applyFont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83" fillId="4" borderId="35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/>
    </xf>
    <xf numFmtId="0" fontId="14" fillId="0" borderId="0" xfId="0" applyNumberFormat="1" applyFont="1" applyBorder="1" applyAlignment="1">
      <alignment horizontal="center"/>
    </xf>
    <xf numFmtId="0" fontId="40" fillId="4" borderId="46" xfId="709" applyFont="1" applyFill="1" applyBorder="1" applyAlignment="1">
      <alignment horizontal="left" vertical="top" wrapText="1"/>
    </xf>
    <xf numFmtId="14" fontId="42" fillId="4" borderId="21" xfId="709" applyNumberFormat="1" applyFont="1" applyFill="1" applyBorder="1" applyAlignment="1">
      <alignment horizontal="center" vertical="top" wrapText="1"/>
    </xf>
    <xf numFmtId="14" fontId="42" fillId="4" borderId="22" xfId="709" applyNumberFormat="1" applyFont="1" applyFill="1" applyBorder="1" applyAlignment="1">
      <alignment horizontal="center" vertical="top" wrapText="1"/>
    </xf>
    <xf numFmtId="43" fontId="14" fillId="0" borderId="13" xfId="80" applyFont="1" applyBorder="1" applyAlignment="1">
      <alignment vertical="center"/>
    </xf>
    <xf numFmtId="43" fontId="14" fillId="0" borderId="15" xfId="80" applyFont="1" applyBorder="1" applyAlignment="1">
      <alignment vertical="center"/>
    </xf>
    <xf numFmtId="43" fontId="14" fillId="0" borderId="56" xfId="80" applyFont="1" applyBorder="1" applyAlignment="1">
      <alignment vertical="center"/>
    </xf>
    <xf numFmtId="43" fontId="14" fillId="0" borderId="36" xfId="80" applyFont="1" applyBorder="1" applyAlignment="1">
      <alignment vertical="center"/>
    </xf>
    <xf numFmtId="43" fontId="14" fillId="0" borderId="51" xfId="80" applyFont="1" applyBorder="1" applyAlignment="1">
      <alignment vertical="center"/>
    </xf>
    <xf numFmtId="43" fontId="14" fillId="0" borderId="53" xfId="80" applyFont="1" applyBorder="1" applyAlignment="1">
      <alignment vertical="center"/>
    </xf>
    <xf numFmtId="0" fontId="32" fillId="0" borderId="46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20" fillId="4" borderId="16" xfId="0" applyFont="1" applyFill="1" applyBorder="1" applyAlignment="1">
      <alignment wrapText="1"/>
    </xf>
    <xf numFmtId="0" fontId="20" fillId="4" borderId="19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0" fontId="20" fillId="4" borderId="17" xfId="0" applyFont="1" applyFill="1" applyBorder="1" applyAlignment="1">
      <alignment wrapText="1"/>
    </xf>
    <xf numFmtId="0" fontId="20" fillId="4" borderId="20" xfId="0" applyFont="1" applyFill="1" applyBorder="1" applyAlignment="1">
      <alignment wrapText="1"/>
    </xf>
    <xf numFmtId="0" fontId="20" fillId="4" borderId="22" xfId="0" applyFont="1" applyFill="1" applyBorder="1" applyAlignment="1">
      <alignment wrapText="1"/>
    </xf>
    <xf numFmtId="43" fontId="14" fillId="0" borderId="62" xfId="80" applyFont="1" applyBorder="1" applyAlignment="1">
      <alignment vertical="center"/>
    </xf>
    <xf numFmtId="43" fontId="14" fillId="0" borderId="50" xfId="80" applyFont="1" applyBorder="1" applyAlignment="1">
      <alignment vertical="center"/>
    </xf>
    <xf numFmtId="43" fontId="14" fillId="0" borderId="41" xfId="80" applyFont="1" applyBorder="1" applyAlignment="1">
      <alignment vertical="center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0" fillId="0" borderId="0" xfId="0" applyFont="1" applyAlignment="1">
      <alignment horizontal="center" wrapText="1"/>
    </xf>
    <xf numFmtId="0" fontId="63" fillId="0" borderId="0" xfId="0" applyFont="1" applyAlignment="1">
      <alignment vertical="justify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8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3" fillId="0" borderId="0" xfId="0" applyFont="1" applyAlignment="1">
      <alignment horizontal="justify" vertical="justify" wrapText="1"/>
    </xf>
    <xf numFmtId="0" fontId="63" fillId="0" borderId="0" xfId="0" applyFont="1" applyAlignment="1">
      <alignment horizontal="left" wrapText="1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0" fontId="13" fillId="4" borderId="20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56" xfId="0" applyNumberFormat="1" applyFont="1" applyBorder="1" applyAlignment="1">
      <alignment horizont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3" fillId="4" borderId="42" xfId="0" applyFont="1" applyFill="1" applyBorder="1" applyAlignment="1">
      <alignment horizontal="center" vertical="center" wrapText="1"/>
    </xf>
    <xf numFmtId="14" fontId="33" fillId="6" borderId="61" xfId="0" applyNumberFormat="1" applyFont="1" applyFill="1" applyBorder="1" applyAlignment="1">
      <alignment horizontal="center" vertical="center"/>
    </xf>
    <xf numFmtId="14" fontId="33" fillId="6" borderId="66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2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3" fillId="4" borderId="19" xfId="0" applyFont="1" applyFill="1" applyBorder="1" applyAlignment="1">
      <alignment horizontal="center"/>
    </xf>
    <xf numFmtId="0" fontId="63" fillId="4" borderId="0" xfId="0" applyFont="1" applyFill="1" applyBorder="1" applyAlignment="1">
      <alignment horizontal="center"/>
    </xf>
    <xf numFmtId="0" fontId="63" fillId="4" borderId="20" xfId="0" applyFont="1" applyFill="1" applyBorder="1" applyAlignment="1">
      <alignment horizontal="center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3" fillId="6" borderId="53" xfId="0" applyNumberFormat="1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14" fontId="33" fillId="6" borderId="51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34" xfId="0" applyNumberFormat="1" applyFont="1" applyBorder="1" applyAlignment="1">
      <alignment horizont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14" fontId="14" fillId="3" borderId="23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left" vertical="center" wrapText="1"/>
    </xf>
    <xf numFmtId="14" fontId="13" fillId="4" borderId="53" xfId="0" applyNumberFormat="1" applyFont="1" applyFill="1" applyBorder="1" applyAlignment="1">
      <alignment horizontal="left" vertical="center" wrapText="1"/>
    </xf>
    <xf numFmtId="14" fontId="13" fillId="4" borderId="51" xfId="0" applyNumberFormat="1" applyFont="1" applyFill="1" applyBorder="1" applyAlignment="1">
      <alignment horizontal="left"/>
    </xf>
    <xf numFmtId="14" fontId="13" fillId="4" borderId="53" xfId="0" applyNumberFormat="1" applyFont="1" applyFill="1" applyBorder="1" applyAlignment="1">
      <alignment horizontal="left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14" fontId="33" fillId="6" borderId="58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left"/>
    </xf>
    <xf numFmtId="0" fontId="14" fillId="4" borderId="44" xfId="0" applyFont="1" applyFill="1" applyBorder="1" applyAlignment="1">
      <alignment horizontal="left"/>
    </xf>
    <xf numFmtId="0" fontId="14" fillId="4" borderId="27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left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80" fillId="4" borderId="56" xfId="0" applyFont="1" applyFill="1" applyBorder="1" applyAlignment="1">
      <alignment horizontal="center"/>
    </xf>
    <xf numFmtId="0" fontId="80" fillId="4" borderId="48" xfId="0" applyFont="1" applyFill="1" applyBorder="1" applyAlignment="1">
      <alignment horizontal="center"/>
    </xf>
    <xf numFmtId="0" fontId="80" fillId="4" borderId="36" xfId="0" applyFont="1" applyFill="1" applyBorder="1" applyAlignment="1">
      <alignment horizontal="center"/>
    </xf>
    <xf numFmtId="0" fontId="80" fillId="4" borderId="42" xfId="0" applyFont="1" applyFill="1" applyBorder="1" applyAlignment="1">
      <alignment horizontal="center" vertical="center" wrapText="1"/>
    </xf>
    <xf numFmtId="0" fontId="80" fillId="4" borderId="46" xfId="0" applyFont="1" applyFill="1" applyBorder="1" applyAlignment="1">
      <alignment horizontal="center" vertical="center" wrapText="1"/>
    </xf>
    <xf numFmtId="0" fontId="80" fillId="4" borderId="72" xfId="0" applyFont="1" applyFill="1" applyBorder="1" applyAlignment="1">
      <alignment horizontal="center" vertical="center" wrapText="1"/>
    </xf>
    <xf numFmtId="0" fontId="80" fillId="4" borderId="33" xfId="0" applyFont="1" applyFill="1" applyBorder="1" applyAlignment="1">
      <alignment horizontal="center" vertical="center" wrapText="1"/>
    </xf>
    <xf numFmtId="0" fontId="80" fillId="4" borderId="63" xfId="0" applyFont="1" applyFill="1" applyBorder="1" applyAlignment="1">
      <alignment horizontal="center" vertical="center" wrapText="1"/>
    </xf>
    <xf numFmtId="0" fontId="80" fillId="4" borderId="39" xfId="0" applyFont="1" applyFill="1" applyBorder="1" applyAlignment="1">
      <alignment horizontal="center" vertical="center" wrapText="1"/>
    </xf>
    <xf numFmtId="0" fontId="81" fillId="8" borderId="63" xfId="0" applyFont="1" applyFill="1" applyBorder="1" applyAlignment="1">
      <alignment horizontal="center" vertical="center" wrapText="1"/>
    </xf>
    <xf numFmtId="0" fontId="81" fillId="8" borderId="39" xfId="0" applyFont="1" applyFill="1" applyBorder="1" applyAlignment="1">
      <alignment horizontal="center" vertical="center" wrapText="1"/>
    </xf>
    <xf numFmtId="0" fontId="81" fillId="8" borderId="5" xfId="0" applyFont="1" applyFill="1" applyBorder="1" applyAlignment="1">
      <alignment horizontal="center" vertical="center" wrapText="1"/>
    </xf>
    <xf numFmtId="0" fontId="81" fillId="8" borderId="1" xfId="0" applyFont="1" applyFill="1" applyBorder="1" applyAlignment="1">
      <alignment horizontal="center" vertical="center" wrapText="1"/>
    </xf>
    <xf numFmtId="4" fontId="80" fillId="0" borderId="65" xfId="0" applyNumberFormat="1" applyFont="1" applyBorder="1" applyAlignment="1">
      <alignment horizontal="center"/>
    </xf>
    <xf numFmtId="4" fontId="80" fillId="0" borderId="66" xfId="0" applyNumberFormat="1" applyFont="1" applyBorder="1" applyAlignment="1">
      <alignment horizontal="center"/>
    </xf>
    <xf numFmtId="4" fontId="80" fillId="0" borderId="57" xfId="0" applyNumberFormat="1" applyFont="1" applyBorder="1" applyAlignment="1">
      <alignment horizontal="center"/>
    </xf>
    <xf numFmtId="0" fontId="76" fillId="4" borderId="13" xfId="0" applyFont="1" applyFill="1" applyBorder="1" applyAlignment="1">
      <alignment horizontal="center"/>
    </xf>
    <xf numFmtId="0" fontId="76" fillId="4" borderId="14" xfId="0" applyFont="1" applyFill="1" applyBorder="1" applyAlignment="1">
      <alignment horizontal="center"/>
    </xf>
    <xf numFmtId="0" fontId="76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72" fillId="8" borderId="16" xfId="0" applyFont="1" applyFill="1" applyBorder="1" applyAlignment="1">
      <alignment horizontal="center" vertical="center" wrapText="1"/>
    </xf>
    <xf numFmtId="0" fontId="72" fillId="8" borderId="23" xfId="0" applyFont="1" applyFill="1" applyBorder="1" applyAlignment="1">
      <alignment horizontal="center" vertical="center" wrapText="1"/>
    </xf>
    <xf numFmtId="0" fontId="72" fillId="8" borderId="72" xfId="0" applyFont="1" applyFill="1" applyBorder="1" applyAlignment="1">
      <alignment horizontal="center" vertical="center" wrapText="1"/>
    </xf>
    <xf numFmtId="0" fontId="72" fillId="8" borderId="19" xfId="0" applyFont="1" applyFill="1" applyBorder="1" applyAlignment="1">
      <alignment horizontal="center" vertical="center" wrapText="1"/>
    </xf>
    <xf numFmtId="0" fontId="72" fillId="8" borderId="0" xfId="0" applyFont="1" applyFill="1" applyBorder="1" applyAlignment="1">
      <alignment horizontal="center" vertical="center" wrapText="1"/>
    </xf>
    <xf numFmtId="0" fontId="72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78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76" fillId="4" borderId="51" xfId="0" applyFont="1" applyFill="1" applyBorder="1" applyAlignment="1">
      <alignment horizontal="center"/>
    </xf>
    <xf numFmtId="0" fontId="76" fillId="4" borderId="52" xfId="0" applyFont="1" applyFill="1" applyBorder="1" applyAlignment="1">
      <alignment horizontal="center"/>
    </xf>
    <xf numFmtId="0" fontId="76" fillId="4" borderId="53" xfId="0" applyFont="1" applyFill="1" applyBorder="1" applyAlignment="1">
      <alignment horizontal="center"/>
    </xf>
    <xf numFmtId="0" fontId="80" fillId="4" borderId="5" xfId="0" applyFont="1" applyFill="1" applyBorder="1" applyAlignment="1">
      <alignment horizontal="center" vertical="center" wrapText="1"/>
    </xf>
    <xf numFmtId="0" fontId="80" fillId="4" borderId="1" xfId="0" applyFont="1" applyFill="1" applyBorder="1" applyAlignment="1">
      <alignment horizontal="center" vertical="center" wrapText="1"/>
    </xf>
    <xf numFmtId="0" fontId="80" fillId="4" borderId="25" xfId="0" applyFont="1" applyFill="1" applyBorder="1" applyAlignment="1">
      <alignment horizontal="center" vertical="center" wrapText="1"/>
    </xf>
    <xf numFmtId="0" fontId="80" fillId="4" borderId="12" xfId="0" applyFont="1" applyFill="1" applyBorder="1" applyAlignment="1">
      <alignment horizontal="center" vertical="center" wrapText="1"/>
    </xf>
    <xf numFmtId="0" fontId="76" fillId="4" borderId="65" xfId="0" applyFont="1" applyFill="1" applyBorder="1" applyAlignment="1">
      <alignment horizontal="center"/>
    </xf>
    <xf numFmtId="0" fontId="76" fillId="4" borderId="66" xfId="0" applyFont="1" applyFill="1" applyBorder="1" applyAlignment="1">
      <alignment horizontal="center"/>
    </xf>
    <xf numFmtId="0" fontId="76" fillId="4" borderId="57" xfId="0" applyFont="1" applyFill="1" applyBorder="1" applyAlignment="1">
      <alignment horizontal="center"/>
    </xf>
    <xf numFmtId="0" fontId="80" fillId="4" borderId="4" xfId="0" applyFont="1" applyFill="1" applyBorder="1" applyAlignment="1">
      <alignment horizontal="center" vertical="center" wrapText="1"/>
    </xf>
    <xf numFmtId="0" fontId="80" fillId="4" borderId="7" xfId="0" applyFont="1" applyFill="1" applyBorder="1" applyAlignment="1">
      <alignment horizontal="center" vertical="center" wrapText="1"/>
    </xf>
    <xf numFmtId="0" fontId="77" fillId="4" borderId="9" xfId="0" applyFont="1" applyFill="1" applyBorder="1" applyAlignment="1">
      <alignment horizontal="center" vertical="center" wrapText="1"/>
    </xf>
    <xf numFmtId="0" fontId="77" fillId="4" borderId="10" xfId="0" applyFont="1" applyFill="1" applyBorder="1" applyAlignment="1">
      <alignment horizontal="center" vertical="center" wrapText="1"/>
    </xf>
    <xf numFmtId="4" fontId="80" fillId="3" borderId="2" xfId="0" applyNumberFormat="1" applyFont="1" applyFill="1" applyBorder="1" applyAlignment="1">
      <alignment horizontal="center"/>
    </xf>
    <xf numFmtId="4" fontId="80" fillId="3" borderId="33" xfId="0" applyNumberFormat="1" applyFont="1" applyFill="1" applyBorder="1" applyAlignment="1">
      <alignment horizontal="center"/>
    </xf>
    <xf numFmtId="0" fontId="85" fillId="4" borderId="51" xfId="0" applyFont="1" applyFill="1" applyBorder="1" applyAlignment="1" applyProtection="1">
      <alignment horizontal="center" vertical="center"/>
      <protection locked="0"/>
    </xf>
    <xf numFmtId="0" fontId="85" fillId="4" borderId="52" xfId="0" applyFont="1" applyFill="1" applyBorder="1" applyAlignment="1" applyProtection="1">
      <alignment horizontal="center" vertical="center"/>
      <protection locked="0"/>
    </xf>
    <xf numFmtId="0" fontId="85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80" fillId="0" borderId="33" xfId="0" applyNumberFormat="1" applyFont="1" applyBorder="1" applyAlignment="1">
      <alignment horizontal="center"/>
    </xf>
    <xf numFmtId="4" fontId="80" fillId="0" borderId="37" xfId="0" applyNumberFormat="1" applyFont="1" applyBorder="1" applyAlignment="1">
      <alignment horizontal="center"/>
    </xf>
    <xf numFmtId="4" fontId="80" fillId="4" borderId="32" xfId="0" applyNumberFormat="1" applyFont="1" applyFill="1" applyBorder="1" applyAlignment="1">
      <alignment horizontal="center"/>
    </xf>
    <xf numFmtId="4" fontId="80" fillId="4" borderId="78" xfId="0" applyNumberFormat="1" applyFont="1" applyFill="1" applyBorder="1" applyAlignment="1">
      <alignment horizontal="center"/>
    </xf>
    <xf numFmtId="4" fontId="80" fillId="4" borderId="55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 vertical="center"/>
    </xf>
    <xf numFmtId="4" fontId="80" fillId="0" borderId="40" xfId="0" applyNumberFormat="1" applyFont="1" applyBorder="1" applyAlignment="1">
      <alignment horizontal="center"/>
    </xf>
    <xf numFmtId="0" fontId="83" fillId="4" borderId="51" xfId="0" applyFont="1" applyFill="1" applyBorder="1" applyAlignment="1">
      <alignment horizontal="center" vertical="center"/>
    </xf>
    <xf numFmtId="0" fontId="83" fillId="4" borderId="52" xfId="0" applyFont="1" applyFill="1" applyBorder="1" applyAlignment="1">
      <alignment horizontal="center" vertical="center"/>
    </xf>
    <xf numFmtId="0" fontId="83" fillId="4" borderId="53" xfId="0" applyFont="1" applyFill="1" applyBorder="1" applyAlignment="1">
      <alignment horizontal="center" vertical="center"/>
    </xf>
    <xf numFmtId="0" fontId="80" fillId="4" borderId="62" xfId="0" applyFont="1" applyFill="1" applyBorder="1" applyAlignment="1">
      <alignment horizontal="center" vertical="center" wrapText="1"/>
    </xf>
    <xf numFmtId="0" fontId="80" fillId="4" borderId="49" xfId="0" applyFont="1" applyFill="1" applyBorder="1" applyAlignment="1">
      <alignment horizontal="center" vertical="center" wrapText="1"/>
    </xf>
    <xf numFmtId="0" fontId="80" fillId="4" borderId="50" xfId="0" applyFont="1" applyFill="1" applyBorder="1" applyAlignment="1">
      <alignment horizontal="center" vertical="center" wrapText="1"/>
    </xf>
    <xf numFmtId="0" fontId="80" fillId="4" borderId="26" xfId="0" applyFont="1" applyFill="1" applyBorder="1" applyAlignment="1">
      <alignment horizontal="center" vertical="center" wrapText="1"/>
    </xf>
    <xf numFmtId="0" fontId="80" fillId="4" borderId="3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80" fillId="0" borderId="3" xfId="0" applyNumberFormat="1" applyFont="1" applyBorder="1" applyAlignment="1">
      <alignment horizontal="center"/>
    </xf>
    <xf numFmtId="4" fontId="80" fillId="0" borderId="8" xfId="0" applyNumberFormat="1" applyFont="1" applyBorder="1" applyAlignment="1">
      <alignment horizontal="center"/>
    </xf>
    <xf numFmtId="4" fontId="80" fillId="0" borderId="18" xfId="0" applyNumberFormat="1" applyFont="1" applyBorder="1" applyAlignment="1">
      <alignment horizontal="center"/>
    </xf>
    <xf numFmtId="4" fontId="80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5" fillId="4" borderId="51" xfId="0" applyFont="1" applyFill="1" applyBorder="1" applyAlignment="1">
      <alignment horizontal="center" vertical="center" wrapText="1"/>
    </xf>
    <xf numFmtId="0" fontId="75" fillId="4" borderId="52" xfId="0" applyFont="1" applyFill="1" applyBorder="1" applyAlignment="1">
      <alignment horizontal="center" vertical="center" wrapText="1"/>
    </xf>
    <xf numFmtId="0" fontId="75" fillId="4" borderId="53" xfId="0" applyFont="1" applyFill="1" applyBorder="1" applyAlignment="1">
      <alignment horizontal="center" vertical="center" wrapText="1"/>
    </xf>
    <xf numFmtId="0" fontId="76" fillId="4" borderId="16" xfId="0" applyFont="1" applyFill="1" applyBorder="1" applyAlignment="1">
      <alignment horizontal="center"/>
    </xf>
    <xf numFmtId="0" fontId="76" fillId="4" borderId="23" xfId="0" applyFont="1" applyFill="1" applyBorder="1" applyAlignment="1">
      <alignment horizontal="center"/>
    </xf>
    <xf numFmtId="0" fontId="76" fillId="4" borderId="17" xfId="0" applyFont="1" applyFill="1" applyBorder="1" applyAlignment="1">
      <alignment horizontal="center"/>
    </xf>
    <xf numFmtId="4" fontId="80" fillId="3" borderId="39" xfId="0" applyNumberFormat="1" applyFont="1" applyFill="1" applyBorder="1" applyAlignment="1">
      <alignment horizontal="center"/>
    </xf>
    <xf numFmtId="4" fontId="80" fillId="3" borderId="10" xfId="0" applyNumberFormat="1" applyFont="1" applyFill="1" applyBorder="1" applyAlignment="1">
      <alignment horizontal="center"/>
    </xf>
    <xf numFmtId="0" fontId="77" fillId="4" borderId="42" xfId="0" applyFont="1" applyFill="1" applyBorder="1" applyAlignment="1">
      <alignment horizontal="center" vertical="center" wrapText="1"/>
    </xf>
    <xf numFmtId="0" fontId="77" fillId="4" borderId="54" xfId="0" applyFont="1" applyFill="1" applyBorder="1" applyAlignment="1">
      <alignment horizontal="center" vertical="center" wrapText="1"/>
    </xf>
    <xf numFmtId="0" fontId="77" fillId="4" borderId="43" xfId="0" applyFont="1" applyFill="1" applyBorder="1" applyAlignment="1">
      <alignment horizontal="center" vertical="center" wrapText="1"/>
    </xf>
    <xf numFmtId="0" fontId="77" fillId="4" borderId="16" xfId="0" applyFont="1" applyFill="1" applyBorder="1" applyAlignment="1">
      <alignment horizontal="center" vertical="center" wrapText="1"/>
    </xf>
    <xf numFmtId="0" fontId="77" fillId="4" borderId="23" xfId="0" applyFont="1" applyFill="1" applyBorder="1" applyAlignment="1">
      <alignment horizontal="center" vertical="center" wrapText="1"/>
    </xf>
    <xf numFmtId="0" fontId="77" fillId="4" borderId="72" xfId="0" applyFont="1" applyFill="1" applyBorder="1" applyAlignment="1">
      <alignment horizontal="center" vertical="center" wrapText="1"/>
    </xf>
    <xf numFmtId="14" fontId="78" fillId="6" borderId="28" xfId="0" applyNumberFormat="1" applyFont="1" applyFill="1" applyBorder="1" applyAlignment="1">
      <alignment horizontal="center" vertical="center" wrapText="1"/>
    </xf>
    <xf numFmtId="14" fontId="78" fillId="6" borderId="29" xfId="0" applyNumberFormat="1" applyFont="1" applyFill="1" applyBorder="1" applyAlignment="1">
      <alignment horizontal="center" vertical="center" wrapText="1"/>
    </xf>
    <xf numFmtId="14" fontId="78" fillId="6" borderId="73" xfId="0" applyNumberFormat="1" applyFont="1" applyFill="1" applyBorder="1" applyAlignment="1">
      <alignment horizontal="center" vertical="center" wrapText="1"/>
    </xf>
    <xf numFmtId="14" fontId="78" fillId="6" borderId="34" xfId="0" applyNumberFormat="1" applyFont="1" applyFill="1" applyBorder="1" applyAlignment="1">
      <alignment horizontal="center" vertical="center" wrapText="1"/>
    </xf>
    <xf numFmtId="14" fontId="78" fillId="6" borderId="2" xfId="0" applyNumberFormat="1" applyFont="1" applyFill="1" applyBorder="1" applyAlignment="1">
      <alignment horizontal="center" vertical="center" wrapText="1"/>
    </xf>
    <xf numFmtId="14" fontId="78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4" fontId="80" fillId="3" borderId="48" xfId="0" applyNumberFormat="1" applyFont="1" applyFill="1" applyBorder="1" applyAlignment="1">
      <alignment horizontal="center"/>
    </xf>
    <xf numFmtId="4" fontId="80" fillId="3" borderId="18" xfId="0" applyNumberFormat="1" applyFont="1" applyFill="1" applyBorder="1" applyAlignment="1">
      <alignment horizontal="center"/>
    </xf>
    <xf numFmtId="0" fontId="86" fillId="0" borderId="23" xfId="0" applyFont="1" applyBorder="1" applyAlignment="1">
      <alignment horizontal="left" vertical="top" wrapText="1"/>
    </xf>
    <xf numFmtId="0" fontId="86" fillId="0" borderId="0" xfId="0" applyFont="1" applyBorder="1" applyAlignment="1">
      <alignment horizontal="left" vertical="top" wrapText="1"/>
    </xf>
    <xf numFmtId="0" fontId="86" fillId="0" borderId="24" xfId="0" applyFont="1" applyBorder="1" applyAlignment="1">
      <alignment horizontal="left" vertical="top" wrapText="1"/>
    </xf>
    <xf numFmtId="0" fontId="77" fillId="4" borderId="25" xfId="0" applyFont="1" applyFill="1" applyBorder="1" applyAlignment="1">
      <alignment horizontal="center" vertical="center" wrapText="1"/>
    </xf>
    <xf numFmtId="0" fontId="77" fillId="4" borderId="14" xfId="0" applyFont="1" applyFill="1" applyBorder="1" applyAlignment="1">
      <alignment horizontal="center" vertical="center" wrapText="1"/>
    </xf>
    <xf numFmtId="0" fontId="77" fillId="4" borderId="15" xfId="0" applyFont="1" applyFill="1" applyBorder="1" applyAlignment="1">
      <alignment horizontal="center" vertical="center" wrapText="1"/>
    </xf>
    <xf numFmtId="49" fontId="79" fillId="4" borderId="74" xfId="0" applyNumberFormat="1" applyFont="1" applyFill="1" applyBorder="1" applyAlignment="1">
      <alignment horizontal="center" vertical="center" wrapText="1"/>
    </xf>
    <xf numFmtId="49" fontId="79" fillId="4" borderId="29" xfId="0" applyNumberFormat="1" applyFont="1" applyFill="1" applyBorder="1" applyAlignment="1">
      <alignment horizontal="center" vertical="center" wrapText="1"/>
    </xf>
    <xf numFmtId="49" fontId="79" fillId="4" borderId="30" xfId="0" applyNumberFormat="1" applyFont="1" applyFill="1" applyBorder="1" applyAlignment="1">
      <alignment horizontal="center" vertical="center" wrapText="1"/>
    </xf>
    <xf numFmtId="49" fontId="79" fillId="4" borderId="40" xfId="0" applyNumberFormat="1" applyFont="1" applyFill="1" applyBorder="1" applyAlignment="1">
      <alignment horizontal="center" vertical="center" wrapText="1"/>
    </xf>
    <xf numFmtId="49" fontId="79" fillId="4" borderId="2" xfId="0" applyNumberFormat="1" applyFont="1" applyFill="1" applyBorder="1" applyAlignment="1">
      <alignment horizontal="center" vertical="center" wrapText="1"/>
    </xf>
    <xf numFmtId="49" fontId="79" fillId="4" borderId="45" xfId="0" applyNumberFormat="1" applyFont="1" applyFill="1" applyBorder="1" applyAlignment="1">
      <alignment horizontal="center" vertical="center" wrapText="1"/>
    </xf>
    <xf numFmtId="0" fontId="77" fillId="4" borderId="21" xfId="0" applyFont="1" applyFill="1" applyBorder="1" applyAlignment="1">
      <alignment horizontal="center"/>
    </xf>
    <xf numFmtId="0" fontId="77" fillId="4" borderId="24" xfId="0" applyFont="1" applyFill="1" applyBorder="1" applyAlignment="1">
      <alignment horizontal="center"/>
    </xf>
    <xf numFmtId="0" fontId="77" fillId="4" borderId="0" xfId="0" applyFont="1" applyFill="1" applyBorder="1" applyAlignment="1">
      <alignment horizontal="center"/>
    </xf>
    <xf numFmtId="0" fontId="77" fillId="4" borderId="20" xfId="0" applyFont="1" applyFill="1" applyBorder="1" applyAlignment="1">
      <alignment horizontal="center"/>
    </xf>
    <xf numFmtId="0" fontId="80" fillId="4" borderId="54" xfId="0" applyFont="1" applyFill="1" applyBorder="1" applyAlignment="1">
      <alignment horizontal="center" vertical="center" wrapText="1"/>
    </xf>
    <xf numFmtId="0" fontId="80" fillId="4" borderId="43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4" fontId="80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80" fillId="0" borderId="1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75" fillId="11" borderId="51" xfId="0" applyFont="1" applyFill="1" applyBorder="1" applyAlignment="1" applyProtection="1">
      <alignment horizontal="center" vertical="top" wrapText="1"/>
    </xf>
    <xf numFmtId="0" fontId="75" fillId="11" borderId="52" xfId="0" applyFont="1" applyFill="1" applyBorder="1" applyAlignment="1" applyProtection="1">
      <alignment horizontal="center" vertical="top" wrapText="1"/>
    </xf>
    <xf numFmtId="0" fontId="75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80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80" fillId="0" borderId="31" xfId="0" applyNumberFormat="1" applyFont="1" applyBorder="1" applyAlignment="1">
      <alignment horizontal="center"/>
    </xf>
    <xf numFmtId="4" fontId="80" fillId="0" borderId="77" xfId="0" applyNumberFormat="1" applyFont="1" applyBorder="1" applyAlignment="1">
      <alignment horizontal="center"/>
    </xf>
    <xf numFmtId="4" fontId="80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80" fillId="0" borderId="39" xfId="0" applyNumberFormat="1" applyFont="1" applyBorder="1" applyAlignment="1" applyProtection="1">
      <alignment horizontal="center"/>
    </xf>
    <xf numFmtId="4" fontId="80" fillId="0" borderId="37" xfId="0" applyNumberFormat="1" applyFont="1" applyBorder="1" applyAlignment="1" applyProtection="1">
      <alignment horizontal="center"/>
    </xf>
    <xf numFmtId="4" fontId="80" fillId="0" borderId="10" xfId="0" applyNumberFormat="1" applyFont="1" applyBorder="1" applyAlignment="1" applyProtection="1">
      <alignment horizontal="center"/>
    </xf>
    <xf numFmtId="4" fontId="80" fillId="0" borderId="11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80" fillId="4" borderId="9" xfId="0" applyFont="1" applyFill="1" applyBorder="1" applyAlignment="1">
      <alignment horizontal="center" vertical="center" wrapText="1"/>
    </xf>
    <xf numFmtId="0" fontId="80" fillId="4" borderId="10" xfId="0" applyFont="1" applyFill="1" applyBorder="1" applyAlignment="1">
      <alignment horizontal="center" vertical="center" wrapText="1"/>
    </xf>
    <xf numFmtId="0" fontId="80" fillId="4" borderId="11" xfId="0" applyFont="1" applyFill="1" applyBorder="1" applyAlignment="1">
      <alignment horizontal="center" vertical="center" wrapText="1"/>
    </xf>
    <xf numFmtId="0" fontId="80" fillId="4" borderId="6" xfId="0" applyFont="1" applyFill="1" applyBorder="1" applyAlignment="1">
      <alignment horizontal="center" vertical="center" wrapText="1"/>
    </xf>
    <xf numFmtId="0" fontId="80" fillId="4" borderId="8" xfId="0" applyFont="1" applyFill="1" applyBorder="1" applyAlignment="1">
      <alignment horizontal="center" vertical="center" wrapText="1"/>
    </xf>
    <xf numFmtId="0" fontId="80" fillId="4" borderId="75" xfId="0" applyFont="1" applyFill="1" applyBorder="1" applyAlignment="1">
      <alignment horizontal="center" vertical="center" wrapText="1"/>
    </xf>
    <xf numFmtId="0" fontId="80" fillId="4" borderId="76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4" fillId="4" borderId="51" xfId="709" applyFont="1" applyFill="1" applyBorder="1" applyAlignment="1">
      <alignment horizontal="center" vertical="center"/>
    </xf>
    <xf numFmtId="0" fontId="64" fillId="4" borderId="52" xfId="709" applyFont="1" applyFill="1" applyBorder="1" applyAlignment="1">
      <alignment horizontal="center" vertical="center"/>
    </xf>
    <xf numFmtId="0" fontId="64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5" fillId="4" borderId="51" xfId="709" applyFont="1" applyFill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7" fillId="4" borderId="2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top" wrapText="1" shrinkToFit="1"/>
    </xf>
    <xf numFmtId="0" fontId="16" fillId="4" borderId="23" xfId="0" applyFont="1" applyFill="1" applyBorder="1" applyAlignment="1">
      <alignment horizontal="left" vertical="top" wrapText="1" shrinkToFit="1"/>
    </xf>
    <xf numFmtId="0" fontId="16" fillId="4" borderId="17" xfId="0" applyFont="1" applyFill="1" applyBorder="1" applyAlignment="1">
      <alignment horizontal="left" vertical="top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20" xfId="0" applyFont="1" applyFill="1" applyBorder="1" applyAlignment="1">
      <alignment horizontal="left" vertical="top" wrapText="1" shrinkToFit="1"/>
    </xf>
    <xf numFmtId="0" fontId="16" fillId="4" borderId="21" xfId="0" applyFont="1" applyFill="1" applyBorder="1" applyAlignment="1">
      <alignment horizontal="left" vertical="top" wrapText="1" shrinkToFit="1"/>
    </xf>
    <xf numFmtId="0" fontId="16" fillId="4" borderId="24" xfId="0" applyFont="1" applyFill="1" applyBorder="1" applyAlignment="1">
      <alignment horizontal="left" vertical="top" wrapText="1" shrinkToFit="1"/>
    </xf>
    <xf numFmtId="0" fontId="16" fillId="4" borderId="22" xfId="0" applyFont="1" applyFill="1" applyBorder="1" applyAlignment="1">
      <alignment horizontal="left" vertical="top" wrapText="1" shrinkToFit="1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64" fillId="4" borderId="44" xfId="709" applyFont="1" applyFill="1" applyBorder="1" applyAlignment="1">
      <alignment horizontal="left"/>
    </xf>
    <xf numFmtId="0" fontId="64" fillId="4" borderId="47" xfId="709" applyFont="1" applyFill="1" applyBorder="1" applyAlignment="1">
      <alignment horizontal="left"/>
    </xf>
    <xf numFmtId="0" fontId="64" fillId="4" borderId="56" xfId="709" applyFont="1" applyFill="1" applyBorder="1" applyAlignment="1">
      <alignment horizontal="left"/>
    </xf>
    <xf numFmtId="0" fontId="64" fillId="4" borderId="48" xfId="709" applyFont="1" applyFill="1" applyBorder="1" applyAlignment="1">
      <alignment horizontal="left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48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4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66" fillId="4" borderId="19" xfId="709" applyFont="1" applyFill="1" applyBorder="1" applyAlignment="1">
      <alignment horizontal="center" wrapText="1"/>
    </xf>
    <xf numFmtId="0" fontId="66" fillId="4" borderId="0" xfId="709" applyFont="1" applyFill="1" applyBorder="1" applyAlignment="1">
      <alignment horizontal="center" wrapText="1"/>
    </xf>
    <xf numFmtId="0" fontId="66" fillId="4" borderId="20" xfId="709" applyFont="1" applyFill="1" applyBorder="1" applyAlignment="1">
      <alignment horizontal="center" wrapText="1"/>
    </xf>
    <xf numFmtId="0" fontId="66" fillId="4" borderId="21" xfId="709" applyFont="1" applyFill="1" applyBorder="1" applyAlignment="1">
      <alignment horizontal="center" wrapText="1"/>
    </xf>
    <xf numFmtId="0" fontId="66" fillId="4" borderId="24" xfId="709" applyFont="1" applyFill="1" applyBorder="1" applyAlignment="1">
      <alignment horizontal="center" wrapText="1"/>
    </xf>
    <xf numFmtId="0" fontId="66" fillId="4" borderId="22" xfId="709" applyFont="1" applyFill="1" applyBorder="1" applyAlignment="1">
      <alignment horizontal="center" wrapText="1"/>
    </xf>
    <xf numFmtId="43" fontId="40" fillId="0" borderId="68" xfId="80" applyFont="1" applyBorder="1" applyAlignment="1">
      <alignment vertical="center" wrapText="1"/>
    </xf>
    <xf numFmtId="43" fontId="40" fillId="0" borderId="46" xfId="80" applyFont="1" applyBorder="1" applyAlignment="1">
      <alignment vertical="center" wrapText="1"/>
    </xf>
    <xf numFmtId="0" fontId="14" fillId="4" borderId="36" xfId="0" applyFont="1" applyFill="1" applyBorder="1" applyAlignment="1">
      <alignment horizontal="left" vertical="center" wrapText="1" shrinkToFit="1"/>
    </xf>
    <xf numFmtId="0" fontId="16" fillId="4" borderId="51" xfId="0" applyFont="1" applyFill="1" applyBorder="1" applyAlignment="1">
      <alignment horizontal="left"/>
    </xf>
    <xf numFmtId="0" fontId="16" fillId="4" borderId="52" xfId="0" applyFont="1" applyFill="1" applyBorder="1" applyAlignment="1">
      <alignment horizontal="left"/>
    </xf>
    <xf numFmtId="0" fontId="16" fillId="4" borderId="53" xfId="0" applyFont="1" applyFill="1" applyBorder="1" applyAlignment="1">
      <alignment horizontal="left"/>
    </xf>
    <xf numFmtId="4" fontId="12" fillId="0" borderId="52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48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7" fillId="4" borderId="21" xfId="709" applyFont="1" applyFill="1" applyBorder="1" applyAlignment="1">
      <alignment horizontal="center" vertical="center" wrapText="1"/>
    </xf>
    <xf numFmtId="0" fontId="67" fillId="4" borderId="24" xfId="709" applyFont="1" applyFill="1" applyBorder="1" applyAlignment="1">
      <alignment horizontal="center" vertical="center" wrapText="1"/>
    </xf>
    <xf numFmtId="0" fontId="67" fillId="4" borderId="22" xfId="709" applyFont="1" applyFill="1" applyBorder="1" applyAlignment="1">
      <alignment horizontal="center" vertical="center" wrapText="1"/>
    </xf>
    <xf numFmtId="0" fontId="63" fillId="4" borderId="21" xfId="0" applyFont="1" applyFill="1" applyBorder="1" applyAlignment="1">
      <alignment horizontal="center" wrapText="1"/>
    </xf>
    <xf numFmtId="0" fontId="63" fillId="4" borderId="24" xfId="0" applyFont="1" applyFill="1" applyBorder="1" applyAlignment="1">
      <alignment horizontal="center" wrapText="1"/>
    </xf>
    <xf numFmtId="0" fontId="63" fillId="4" borderId="22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40" fillId="4" borderId="34" xfId="0" applyFont="1" applyFill="1" applyBorder="1" applyAlignment="1">
      <alignment horizontal="left" vertical="center" wrapText="1" shrinkToFit="1"/>
    </xf>
    <xf numFmtId="0" fontId="40" fillId="4" borderId="2" xfId="0" applyFont="1" applyFill="1" applyBorder="1" applyAlignment="1">
      <alignment horizontal="left" vertical="center" wrapText="1" shrinkToFit="1"/>
    </xf>
    <xf numFmtId="0" fontId="41" fillId="4" borderId="16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41" fillId="4" borderId="20" xfId="0" applyFont="1" applyFill="1" applyBorder="1" applyAlignment="1">
      <alignment horizontal="center" wrapText="1"/>
    </xf>
    <xf numFmtId="0" fontId="41" fillId="4" borderId="19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36" fillId="3" borderId="0" xfId="709" applyFont="1" applyFill="1" applyBorder="1" applyAlignment="1">
      <alignment horizontal="center"/>
    </xf>
    <xf numFmtId="0" fontId="40" fillId="4" borderId="51" xfId="709" applyFont="1" applyFill="1" applyBorder="1" applyAlignment="1">
      <alignment horizontal="center"/>
    </xf>
    <xf numFmtId="0" fontId="40" fillId="4" borderId="52" xfId="709" applyFont="1" applyFill="1" applyBorder="1" applyAlignment="1">
      <alignment horizontal="center"/>
    </xf>
    <xf numFmtId="0" fontId="40" fillId="4" borderId="53" xfId="709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40" fillId="4" borderId="21" xfId="0" applyFont="1" applyFill="1" applyBorder="1" applyAlignment="1">
      <alignment horizontal="center" vertical="center" wrapText="1" shrinkToFit="1"/>
    </xf>
    <xf numFmtId="0" fontId="40" fillId="4" borderId="24" xfId="0" applyFont="1" applyFill="1" applyBorder="1" applyAlignment="1">
      <alignment horizontal="center" vertical="center" wrapText="1" shrinkToFit="1"/>
    </xf>
    <xf numFmtId="0" fontId="40" fillId="4" borderId="44" xfId="709" applyFont="1" applyFill="1" applyBorder="1" applyAlignment="1">
      <alignment horizontal="left"/>
    </xf>
    <xf numFmtId="0" fontId="40" fillId="4" borderId="47" xfId="709" applyFont="1" applyFill="1" applyBorder="1" applyAlignment="1">
      <alignment horizontal="left"/>
    </xf>
    <xf numFmtId="0" fontId="40" fillId="4" borderId="44" xfId="0" applyFont="1" applyFill="1" applyBorder="1" applyAlignment="1">
      <alignment horizontal="left" vertical="center" wrapText="1" shrinkToFit="1"/>
    </xf>
    <xf numFmtId="0" fontId="40" fillId="4" borderId="47" xfId="0" applyFont="1" applyFill="1" applyBorder="1" applyAlignment="1">
      <alignment horizontal="left" vertical="center" wrapText="1" shrinkToFit="1"/>
    </xf>
    <xf numFmtId="0" fontId="40" fillId="4" borderId="56" xfId="709" applyFont="1" applyFill="1" applyBorder="1" applyAlignment="1">
      <alignment horizontal="left"/>
    </xf>
    <xf numFmtId="0" fontId="40" fillId="4" borderId="48" xfId="709" applyFont="1" applyFill="1" applyBorder="1" applyAlignment="1">
      <alignment horizontal="left"/>
    </xf>
    <xf numFmtId="0" fontId="42" fillId="4" borderId="42" xfId="709" applyFont="1" applyFill="1" applyBorder="1" applyAlignment="1">
      <alignment horizontal="center" vertical="center"/>
    </xf>
    <xf numFmtId="0" fontId="42" fillId="4" borderId="46" xfId="709" applyFont="1" applyFill="1" applyBorder="1" applyAlignment="1">
      <alignment horizontal="center" vertical="center"/>
    </xf>
    <xf numFmtId="0" fontId="42" fillId="4" borderId="16" xfId="709" applyFont="1" applyFill="1" applyBorder="1" applyAlignment="1">
      <alignment horizontal="center" vertical="top"/>
    </xf>
    <xf numFmtId="0" fontId="42" fillId="4" borderId="23" xfId="709" applyFont="1" applyFill="1" applyBorder="1" applyAlignment="1">
      <alignment horizontal="center" vertical="top"/>
    </xf>
    <xf numFmtId="0" fontId="42" fillId="4" borderId="17" xfId="709" applyFont="1" applyFill="1" applyBorder="1" applyAlignment="1">
      <alignment horizontal="center" vertical="top"/>
    </xf>
    <xf numFmtId="0" fontId="36" fillId="12" borderId="51" xfId="709" applyFont="1" applyFill="1" applyBorder="1" applyAlignment="1">
      <alignment horizontal="center"/>
    </xf>
    <xf numFmtId="0" fontId="36" fillId="12" borderId="52" xfId="709" applyFont="1" applyFill="1" applyBorder="1" applyAlignment="1">
      <alignment horizontal="center"/>
    </xf>
    <xf numFmtId="0" fontId="36" fillId="12" borderId="53" xfId="709" applyFont="1" applyFill="1" applyBorder="1" applyAlignment="1">
      <alignment horizontal="center"/>
    </xf>
    <xf numFmtId="0" fontId="40" fillId="12" borderId="51" xfId="709" applyFont="1" applyFill="1" applyBorder="1" applyAlignment="1">
      <alignment horizontal="center"/>
    </xf>
    <xf numFmtId="0" fontId="40" fillId="12" borderId="52" xfId="709" applyFont="1" applyFill="1" applyBorder="1" applyAlignment="1">
      <alignment horizontal="center"/>
    </xf>
    <xf numFmtId="0" fontId="40" fillId="12" borderId="53" xfId="709" applyFont="1" applyFill="1" applyBorder="1" applyAlignment="1">
      <alignment horizontal="center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65" fontId="18" fillId="3" borderId="44" xfId="0" applyNumberFormat="1" applyFont="1" applyFill="1" applyBorder="1" applyAlignment="1">
      <alignment horizontal="center"/>
    </xf>
    <xf numFmtId="165" fontId="18" fillId="3" borderId="47" xfId="0" applyNumberFormat="1" applyFont="1" applyFill="1" applyBorder="1" applyAlignment="1">
      <alignment horizontal="center"/>
    </xf>
    <xf numFmtId="165" fontId="18" fillId="3" borderId="27" xfId="0" applyNumberFormat="1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65" fontId="18" fillId="3" borderId="21" xfId="0" applyNumberFormat="1" applyFont="1" applyFill="1" applyBorder="1" applyAlignment="1">
      <alignment horizontal="center"/>
    </xf>
    <xf numFmtId="165" fontId="18" fillId="3" borderId="24" xfId="0" applyNumberFormat="1" applyFont="1" applyFill="1" applyBorder="1" applyAlignment="1">
      <alignment horizontal="center"/>
    </xf>
    <xf numFmtId="165" fontId="18" fillId="3" borderId="22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4" fontId="20" fillId="0" borderId="0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43" fontId="14" fillId="0" borderId="13" xfId="80" applyFont="1" applyBorder="1" applyAlignment="1">
      <alignment horizontal="center" vertical="center"/>
    </xf>
    <xf numFmtId="43" fontId="14" fillId="0" borderId="15" xfId="80" applyFont="1" applyBorder="1" applyAlignment="1">
      <alignment horizontal="center" vertical="center"/>
    </xf>
    <xf numFmtId="43" fontId="14" fillId="0" borderId="56" xfId="80" applyFont="1" applyBorder="1" applyAlignment="1">
      <alignment horizontal="center" vertical="center"/>
    </xf>
    <xf numFmtId="43" fontId="14" fillId="0" borderId="36" xfId="80" applyFont="1" applyBorder="1" applyAlignment="1">
      <alignment horizontal="center" vertical="center"/>
    </xf>
    <xf numFmtId="43" fontId="14" fillId="0" borderId="51" xfId="80" applyFont="1" applyBorder="1" applyAlignment="1">
      <alignment horizontal="center" vertical="center"/>
    </xf>
    <xf numFmtId="43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43" fontId="14" fillId="0" borderId="41" xfId="80" applyFont="1" applyBorder="1" applyAlignment="1">
      <alignment horizontal="center" vertical="center"/>
    </xf>
    <xf numFmtId="0" fontId="87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 vertical="center"/>
    </xf>
    <xf numFmtId="43" fontId="14" fillId="0" borderId="47" xfId="80" applyFont="1" applyBorder="1" applyAlignment="1">
      <alignment horizontal="center" vertic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43" fontId="14" fillId="3" borderId="2" xfId="80" applyFont="1" applyFill="1" applyBorder="1" applyAlignment="1">
      <alignment horizontal="center" vertical="center"/>
    </xf>
    <xf numFmtId="43" fontId="14" fillId="0" borderId="44" xfId="80" applyFont="1" applyBorder="1" applyAlignment="1">
      <alignment horizontal="center" vertical="center"/>
    </xf>
    <xf numFmtId="43" fontId="14" fillId="0" borderId="2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14" fillId="4" borderId="62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40" fillId="0" borderId="0" xfId="709" applyFont="1" applyBorder="1" applyAlignment="1">
      <alignment horizontal="left" wrapText="1"/>
    </xf>
  </cellXfs>
  <cellStyles count="1438">
    <cellStyle name="1000-sep (2 dec) 2" xfId="773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Komma" xfId="80" builtinId="3"/>
    <cellStyle name="komma0" xfId="35"/>
    <cellStyle name="komma0 2" xfId="772"/>
    <cellStyle name="Normal" xfId="0" builtinId="0"/>
    <cellStyle name="Normal 2" xfId="709"/>
    <cellStyle name="Procent 2" xfId="774"/>
    <cellStyle name="Valuta 2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346075</xdr:colOff>
      <xdr:row>15</xdr:row>
      <xdr:rowOff>38103</xdr:rowOff>
    </xdr:from>
    <xdr:to>
      <xdr:col>4</xdr:col>
      <xdr:colOff>1057275</xdr:colOff>
      <xdr:row>16</xdr:row>
      <xdr:rowOff>980</xdr:rowOff>
    </xdr:to>
    <xdr:pic>
      <xdr:nvPicPr>
        <xdr:cNvPr id="7" name="Billed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14</xdr:row>
      <xdr:rowOff>164211</xdr:rowOff>
    </xdr:from>
    <xdr:to>
      <xdr:col>4</xdr:col>
      <xdr:colOff>1242095</xdr:colOff>
      <xdr:row>14</xdr:row>
      <xdr:rowOff>444500</xdr:rowOff>
    </xdr:to>
    <xdr:pic>
      <xdr:nvPicPr>
        <xdr:cNvPr id="9" name="Billede 8" descr="logo 4 farvet jpg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16</xdr:row>
      <xdr:rowOff>38100</xdr:rowOff>
    </xdr:from>
    <xdr:to>
      <xdr:col>4</xdr:col>
      <xdr:colOff>1066799</xdr:colOff>
      <xdr:row>18</xdr:row>
      <xdr:rowOff>222721</xdr:rowOff>
    </xdr:to>
    <xdr:pic>
      <xdr:nvPicPr>
        <xdr:cNvPr id="10" name="Billed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63918</xdr:colOff>
      <xdr:row>20</xdr:row>
      <xdr:rowOff>63499</xdr:rowOff>
    </xdr:from>
    <xdr:to>
      <xdr:col>4</xdr:col>
      <xdr:colOff>1474152</xdr:colOff>
      <xdr:row>22</xdr:row>
      <xdr:rowOff>12700</xdr:rowOff>
    </xdr:to>
    <xdr:pic>
      <xdr:nvPicPr>
        <xdr:cNvPr id="8" name="Billede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018" y="6654799"/>
          <a:ext cx="1410234" cy="330201"/>
        </a:xfrm>
        <a:prstGeom prst="rect">
          <a:avLst/>
        </a:prstGeom>
      </xdr:spPr>
    </xdr:pic>
    <xdr:clientData/>
  </xdr:twoCellAnchor>
  <xdr:twoCellAnchor editAs="oneCell">
    <xdr:from>
      <xdr:col>5</xdr:col>
      <xdr:colOff>165100</xdr:colOff>
      <xdr:row>14</xdr:row>
      <xdr:rowOff>190500</xdr:rowOff>
    </xdr:from>
    <xdr:to>
      <xdr:col>8</xdr:col>
      <xdr:colOff>406400</xdr:colOff>
      <xdr:row>15</xdr:row>
      <xdr:rowOff>45827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6200" y="4826000"/>
          <a:ext cx="2082800" cy="439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0"/>
  <sheetViews>
    <sheetView tabSelected="1" workbookViewId="0">
      <selection activeCell="A3" sqref="A3:I3"/>
    </sheetView>
  </sheetViews>
  <sheetFormatPr baseColWidth="10" defaultColWidth="8.83203125" defaultRowHeight="15" x14ac:dyDescent="0.2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63" customHeight="1" x14ac:dyDescent="0.3">
      <c r="A1" s="996"/>
      <c r="B1" s="996"/>
      <c r="C1" s="996"/>
      <c r="D1" s="996"/>
      <c r="E1" s="996"/>
      <c r="F1" s="996"/>
      <c r="G1" s="996"/>
      <c r="H1" s="996"/>
      <c r="I1" s="996"/>
    </row>
    <row r="2" spans="1:21" ht="30" customHeight="1" x14ac:dyDescent="0.2">
      <c r="A2" s="997"/>
      <c r="B2" s="997"/>
      <c r="C2" s="997"/>
      <c r="D2" s="997"/>
      <c r="E2" s="997"/>
      <c r="F2" s="997"/>
      <c r="G2" s="997"/>
      <c r="H2" s="997"/>
      <c r="I2" s="997"/>
    </row>
    <row r="3" spans="1:21" ht="37" customHeight="1" x14ac:dyDescent="0.3">
      <c r="A3" s="996" t="s">
        <v>83</v>
      </c>
      <c r="B3" s="996"/>
      <c r="C3" s="996"/>
      <c r="D3" s="996"/>
      <c r="E3" s="996"/>
      <c r="F3" s="996"/>
      <c r="G3" s="996"/>
      <c r="H3" s="996"/>
      <c r="I3" s="996"/>
      <c r="M3" s="994"/>
      <c r="N3" s="995"/>
      <c r="O3" s="995"/>
      <c r="P3" s="995"/>
      <c r="Q3" s="995"/>
      <c r="R3" s="995"/>
      <c r="S3" s="995"/>
      <c r="T3" s="995"/>
      <c r="U3" s="995"/>
    </row>
    <row r="4" spans="1:21" ht="26" customHeight="1" x14ac:dyDescent="0.3">
      <c r="A4" s="996" t="s">
        <v>486</v>
      </c>
      <c r="B4" s="996"/>
      <c r="C4" s="996"/>
      <c r="D4" s="996"/>
      <c r="E4" s="996"/>
      <c r="F4" s="996"/>
      <c r="G4" s="996"/>
      <c r="H4" s="996"/>
      <c r="I4" s="996"/>
    </row>
    <row r="5" spans="1:21" s="33" customFormat="1" ht="14" customHeight="1" x14ac:dyDescent="0.15">
      <c r="A5" s="997"/>
      <c r="B5" s="997"/>
      <c r="C5" s="997"/>
      <c r="D5" s="997"/>
      <c r="E5" s="997"/>
      <c r="F5" s="997"/>
      <c r="G5" s="997"/>
      <c r="H5" s="997"/>
      <c r="I5" s="997"/>
    </row>
    <row r="6" spans="1:21" s="33" customFormat="1" ht="21" customHeight="1" x14ac:dyDescent="0.2">
      <c r="A6" s="1001" t="s">
        <v>495</v>
      </c>
      <c r="B6" s="1001"/>
      <c r="C6" s="1001"/>
      <c r="D6" s="1001"/>
      <c r="E6" s="1001"/>
      <c r="F6" s="1001"/>
      <c r="G6" s="1001"/>
      <c r="H6" s="1001"/>
      <c r="I6" s="1001"/>
    </row>
    <row r="7" spans="1:21" s="33" customFormat="1" ht="36.75" customHeight="1" x14ac:dyDescent="0.2">
      <c r="A7" s="1001" t="s">
        <v>496</v>
      </c>
      <c r="B7" s="1001"/>
      <c r="C7" s="1001"/>
      <c r="D7" s="1001"/>
      <c r="E7" s="1001"/>
      <c r="F7" s="1001"/>
      <c r="G7" s="1001"/>
      <c r="H7" s="1001"/>
      <c r="I7" s="1001"/>
    </row>
    <row r="8" spans="1:21" ht="18" customHeight="1" x14ac:dyDescent="0.2">
      <c r="A8" s="998" t="s">
        <v>523</v>
      </c>
      <c r="B8" s="998"/>
      <c r="C8" s="998"/>
      <c r="D8" s="998"/>
      <c r="E8" s="998"/>
      <c r="F8" s="998"/>
      <c r="G8" s="998"/>
      <c r="H8" s="998"/>
      <c r="I8" s="998"/>
    </row>
    <row r="9" spans="1:21" ht="18" customHeight="1" x14ac:dyDescent="0.2">
      <c r="A9" s="998"/>
      <c r="B9" s="998"/>
      <c r="C9" s="998"/>
      <c r="D9" s="998"/>
      <c r="E9" s="998"/>
      <c r="F9" s="998"/>
      <c r="G9" s="998"/>
      <c r="H9" s="998"/>
      <c r="I9" s="998"/>
    </row>
    <row r="10" spans="1:21" ht="23" customHeight="1" x14ac:dyDescent="0.2">
      <c r="A10" s="1013" t="s">
        <v>493</v>
      </c>
      <c r="B10" s="1014"/>
      <c r="C10" s="1014"/>
      <c r="D10" s="1014"/>
      <c r="E10" s="1014"/>
      <c r="F10" s="1014"/>
      <c r="G10" s="1014"/>
      <c r="H10" s="1014"/>
      <c r="I10" s="1014"/>
    </row>
    <row r="11" spans="1:21" ht="18" customHeight="1" x14ac:dyDescent="0.2">
      <c r="A11" s="1016" t="s">
        <v>516</v>
      </c>
      <c r="B11" s="1016"/>
      <c r="C11" s="1016"/>
      <c r="D11" s="1016"/>
      <c r="E11" s="1016"/>
      <c r="F11" s="1016"/>
      <c r="G11" s="1016"/>
      <c r="H11" s="1016"/>
      <c r="I11" s="1016"/>
    </row>
    <row r="12" spans="1:21" ht="33" customHeight="1" x14ac:dyDescent="0.2">
      <c r="A12" s="1002" t="s">
        <v>497</v>
      </c>
      <c r="B12" s="1002"/>
      <c r="C12" s="1002"/>
      <c r="D12" s="1002"/>
      <c r="E12" s="1002"/>
      <c r="F12" s="1002"/>
      <c r="G12" s="1002"/>
      <c r="H12" s="1002"/>
      <c r="I12" s="1002"/>
    </row>
    <row r="13" spans="1:21" ht="9.75" customHeight="1" x14ac:dyDescent="0.2">
      <c r="A13" s="1015"/>
      <c r="B13" s="1015"/>
      <c r="C13" s="1015"/>
      <c r="D13" s="1015"/>
      <c r="E13" s="1015"/>
      <c r="F13" s="1015"/>
      <c r="G13" s="1015"/>
      <c r="H13" s="1015"/>
      <c r="I13" s="1015"/>
    </row>
    <row r="14" spans="1:21" ht="19" customHeight="1" x14ac:dyDescent="0.2">
      <c r="A14" s="1004"/>
      <c r="B14" s="1004"/>
      <c r="C14" s="1004"/>
      <c r="D14" s="1004"/>
      <c r="E14" s="1004"/>
      <c r="F14" s="999"/>
      <c r="G14" s="999"/>
      <c r="H14" s="999"/>
      <c r="I14" s="999"/>
    </row>
    <row r="15" spans="1:21" ht="46" customHeight="1" x14ac:dyDescent="0.2">
      <c r="A15" s="1003" t="s">
        <v>86</v>
      </c>
      <c r="B15" s="1003"/>
      <c r="C15" s="1003"/>
      <c r="D15" s="1003"/>
      <c r="E15" s="34"/>
      <c r="F15" s="1000" t="s">
        <v>384</v>
      </c>
      <c r="G15" s="1000"/>
      <c r="H15" s="1000"/>
      <c r="I15" s="1000"/>
    </row>
    <row r="16" spans="1:21" ht="46" customHeight="1" x14ac:dyDescent="0.2">
      <c r="A16" s="1003" t="s">
        <v>84</v>
      </c>
      <c r="B16" s="1003"/>
      <c r="C16" s="1003"/>
      <c r="D16" s="1003"/>
      <c r="E16" s="34"/>
      <c r="F16" s="1012" t="s">
        <v>385</v>
      </c>
      <c r="G16" s="1012"/>
      <c r="H16" s="1012"/>
      <c r="I16" s="1012"/>
    </row>
    <row r="17" spans="1:9" ht="14" customHeight="1" x14ac:dyDescent="0.2">
      <c r="A17" s="1003" t="s">
        <v>378</v>
      </c>
      <c r="B17" s="1003"/>
      <c r="C17" s="1003"/>
      <c r="D17" s="1003"/>
      <c r="E17" s="1010"/>
      <c r="F17" s="1012" t="s">
        <v>475</v>
      </c>
      <c r="G17" s="1012"/>
      <c r="H17" s="1012"/>
      <c r="I17" s="1012"/>
    </row>
    <row r="18" spans="1:9" ht="15" customHeight="1" x14ac:dyDescent="0.2">
      <c r="A18" s="1003"/>
      <c r="B18" s="1003"/>
      <c r="C18" s="1003"/>
      <c r="D18" s="1003"/>
      <c r="E18" s="1010"/>
      <c r="F18" s="1012"/>
      <c r="G18" s="1012"/>
      <c r="H18" s="1012"/>
      <c r="I18" s="1012"/>
    </row>
    <row r="19" spans="1:9" ht="18" customHeight="1" x14ac:dyDescent="0.2">
      <c r="A19" s="1003"/>
      <c r="B19" s="1003"/>
      <c r="C19" s="1003"/>
      <c r="D19" s="1003"/>
      <c r="E19" s="1010"/>
      <c r="F19" s="1012"/>
      <c r="G19" s="1012"/>
      <c r="H19" s="1012"/>
      <c r="I19" s="1012"/>
    </row>
    <row r="20" spans="1:9" ht="15" customHeight="1" x14ac:dyDescent="0.2">
      <c r="A20" s="1011" t="s">
        <v>85</v>
      </c>
      <c r="B20" s="1011"/>
      <c r="C20" s="41"/>
      <c r="D20" s="41"/>
      <c r="E20" s="1010"/>
      <c r="F20" s="1012" t="s">
        <v>476</v>
      </c>
      <c r="G20" s="1012"/>
      <c r="H20" s="1012"/>
      <c r="I20" s="1012"/>
    </row>
    <row r="21" spans="1:9" ht="15" customHeight="1" x14ac:dyDescent="0.2">
      <c r="A21" s="1011"/>
      <c r="B21" s="1011"/>
      <c r="C21" s="41"/>
      <c r="D21" s="41"/>
      <c r="E21" s="1010"/>
      <c r="F21" s="1012"/>
      <c r="G21" s="1012"/>
      <c r="H21" s="1012"/>
      <c r="I21" s="1012"/>
    </row>
    <row r="22" spans="1:9" ht="15" customHeight="1" x14ac:dyDescent="0.2">
      <c r="A22" s="1011"/>
      <c r="B22" s="1011"/>
      <c r="C22" s="41"/>
      <c r="D22" s="41"/>
      <c r="E22" s="1010"/>
      <c r="F22" s="1012" t="s">
        <v>386</v>
      </c>
      <c r="G22" s="1012"/>
      <c r="H22" s="1012"/>
      <c r="I22" s="1012"/>
    </row>
    <row r="23" spans="1:9" ht="12" customHeight="1" x14ac:dyDescent="0.2">
      <c r="A23" s="1011"/>
      <c r="B23" s="1011"/>
      <c r="C23" s="41"/>
      <c r="D23" s="41"/>
      <c r="E23" s="1010"/>
      <c r="F23" s="1012" t="s">
        <v>387</v>
      </c>
      <c r="G23" s="1012"/>
      <c r="H23" s="1012"/>
      <c r="I23" s="1012"/>
    </row>
    <row r="24" spans="1:9" ht="12" customHeight="1" x14ac:dyDescent="0.2">
      <c r="A24" s="1005"/>
      <c r="B24" s="1005"/>
      <c r="C24" s="1005"/>
      <c r="D24" s="1005"/>
      <c r="E24" s="1005"/>
      <c r="F24" s="1012" t="s">
        <v>388</v>
      </c>
      <c r="G24" s="1012"/>
      <c r="H24" s="1012"/>
      <c r="I24" s="1012"/>
    </row>
    <row r="25" spans="1:9" ht="12" customHeight="1" x14ac:dyDescent="0.2">
      <c r="A25" s="1005"/>
      <c r="B25" s="1005"/>
      <c r="C25" s="1005"/>
      <c r="D25" s="1005"/>
      <c r="E25" s="1005"/>
    </row>
    <row r="26" spans="1:9" ht="46" customHeight="1" x14ac:dyDescent="0.2">
      <c r="A26" s="1004"/>
      <c r="B26" s="1004"/>
      <c r="C26" s="1004"/>
      <c r="D26" s="1004"/>
      <c r="E26" s="1004"/>
      <c r="F26" s="1004"/>
      <c r="G26" s="1004"/>
      <c r="H26" s="1004"/>
      <c r="I26" s="1004"/>
    </row>
    <row r="27" spans="1:9" ht="46" customHeight="1" x14ac:dyDescent="0.2">
      <c r="A27" s="1004"/>
      <c r="B27" s="1004"/>
      <c r="C27" s="1004"/>
      <c r="D27" s="1004"/>
      <c r="E27" s="1004"/>
      <c r="F27" s="1004"/>
      <c r="G27" s="1004"/>
      <c r="H27" s="1004"/>
      <c r="I27" s="1004"/>
    </row>
    <row r="28" spans="1:9" ht="46" customHeight="1" x14ac:dyDescent="0.2">
      <c r="A28" s="1005" t="s">
        <v>136</v>
      </c>
      <c r="B28" s="1005"/>
      <c r="C28" s="1005"/>
      <c r="D28" s="1005"/>
      <c r="E28" s="1005"/>
      <c r="F28" s="1005"/>
      <c r="G28" s="1005"/>
      <c r="H28" s="1005"/>
      <c r="I28" s="1005"/>
    </row>
    <row r="29" spans="1:9" ht="85" customHeight="1" x14ac:dyDescent="0.2">
      <c r="A29" s="784"/>
      <c r="B29" s="784"/>
      <c r="C29" s="784"/>
      <c r="D29" s="784"/>
      <c r="E29" s="784"/>
    </row>
    <row r="30" spans="1:9" ht="13" customHeight="1" x14ac:dyDescent="0.2">
      <c r="A30" s="997"/>
      <c r="B30" s="997"/>
      <c r="C30" s="997"/>
      <c r="D30" s="997"/>
      <c r="E30" s="15"/>
    </row>
    <row r="31" spans="1:9" x14ac:dyDescent="0.2">
      <c r="B31" s="1009"/>
      <c r="C31" s="1009"/>
      <c r="D31" s="1009"/>
      <c r="E31" s="139"/>
    </row>
    <row r="32" spans="1:9" x14ac:dyDescent="0.2">
      <c r="A32" s="37"/>
      <c r="B32" s="14"/>
      <c r="C32" s="14"/>
      <c r="D32" s="14"/>
      <c r="E32" s="14"/>
      <c r="F32" s="783"/>
      <c r="G32" s="783"/>
      <c r="H32" s="783"/>
      <c r="I32" s="783"/>
    </row>
    <row r="33" spans="1:9" x14ac:dyDescent="0.2">
      <c r="A33" s="997"/>
      <c r="B33" s="997"/>
      <c r="C33" s="997"/>
      <c r="D33" s="997"/>
      <c r="E33" s="15"/>
    </row>
    <row r="34" spans="1:9" x14ac:dyDescent="0.2">
      <c r="A34" s="783"/>
      <c r="B34" s="783"/>
      <c r="C34" s="783"/>
      <c r="D34" s="783"/>
      <c r="E34" s="783"/>
    </row>
    <row r="35" spans="1:9" x14ac:dyDescent="0.2">
      <c r="A35" s="997"/>
      <c r="B35" s="997"/>
      <c r="C35" s="997"/>
      <c r="D35" s="997"/>
      <c r="E35" s="15"/>
      <c r="H35" s="997"/>
      <c r="I35" s="997"/>
    </row>
    <row r="36" spans="1:9" x14ac:dyDescent="0.2">
      <c r="A36" s="997"/>
      <c r="B36" s="997"/>
      <c r="C36" s="997"/>
      <c r="D36" s="997"/>
      <c r="E36" s="15"/>
      <c r="H36" s="997"/>
      <c r="I36" s="997"/>
    </row>
    <row r="37" spans="1:9" x14ac:dyDescent="0.2">
      <c r="A37" s="997"/>
      <c r="B37" s="997"/>
      <c r="C37" s="997"/>
      <c r="D37" s="997"/>
      <c r="E37" s="15"/>
      <c r="H37" s="997"/>
      <c r="I37" s="997"/>
    </row>
    <row r="38" spans="1:9" x14ac:dyDescent="0.2">
      <c r="A38" s="997"/>
      <c r="B38" s="997"/>
      <c r="C38" s="997"/>
      <c r="D38" s="997"/>
      <c r="E38" s="15"/>
      <c r="H38" s="997"/>
      <c r="I38" s="997"/>
    </row>
    <row r="39" spans="1:9" x14ac:dyDescent="0.2">
      <c r="A39" s="997"/>
      <c r="B39" s="997"/>
      <c r="C39" s="997"/>
      <c r="D39" s="997"/>
      <c r="E39" s="15"/>
      <c r="H39" s="997"/>
      <c r="I39" s="997"/>
    </row>
    <row r="40" spans="1:9" x14ac:dyDescent="0.2">
      <c r="A40" s="997"/>
      <c r="B40" s="997"/>
      <c r="C40" s="997"/>
      <c r="D40" s="997"/>
      <c r="E40" s="15"/>
      <c r="H40" s="997"/>
      <c r="I40" s="997"/>
    </row>
    <row r="41" spans="1:9" x14ac:dyDescent="0.2">
      <c r="A41" s="997"/>
      <c r="B41" s="997"/>
      <c r="C41" s="997"/>
      <c r="D41" s="997"/>
      <c r="E41" s="15"/>
      <c r="H41" s="997"/>
      <c r="I41" s="997"/>
    </row>
    <row r="42" spans="1:9" x14ac:dyDescent="0.2">
      <c r="A42" s="997"/>
      <c r="B42" s="997"/>
      <c r="C42" s="997"/>
      <c r="D42" s="997"/>
      <c r="E42" s="15"/>
      <c r="H42" s="997"/>
      <c r="I42" s="997"/>
    </row>
    <row r="43" spans="1:9" x14ac:dyDescent="0.2">
      <c r="A43" s="37"/>
      <c r="B43" s="15"/>
      <c r="C43" s="15"/>
      <c r="D43" s="15"/>
      <c r="E43" s="15"/>
      <c r="H43" s="997"/>
      <c r="I43" s="997"/>
    </row>
    <row r="44" spans="1:9" ht="18" x14ac:dyDescent="0.2">
      <c r="A44" s="41"/>
      <c r="B44" s="1009"/>
      <c r="C44" s="1009"/>
      <c r="D44" s="1009"/>
      <c r="E44" s="39"/>
      <c r="H44" s="997"/>
      <c r="I44" s="997"/>
    </row>
    <row r="45" spans="1:9" x14ac:dyDescent="0.2">
      <c r="A45" s="37"/>
      <c r="B45" s="14"/>
      <c r="C45" s="14"/>
      <c r="D45" s="14"/>
      <c r="E45" s="14"/>
    </row>
    <row r="46" spans="1:9" ht="16" x14ac:dyDescent="0.2">
      <c r="A46" s="1008"/>
      <c r="B46" s="1008"/>
      <c r="C46" s="1008"/>
      <c r="D46" s="1008"/>
      <c r="E46" s="35"/>
    </row>
    <row r="47" spans="1:9" ht="18" x14ac:dyDescent="0.2">
      <c r="A47" s="1007"/>
      <c r="B47" s="1007"/>
      <c r="C47" s="1007"/>
      <c r="D47" s="1007"/>
      <c r="E47" s="39"/>
    </row>
    <row r="48" spans="1:9" x14ac:dyDescent="0.2">
      <c r="A48" s="37"/>
      <c r="B48" s="14"/>
      <c r="C48" s="14"/>
      <c r="D48" s="14"/>
      <c r="E48" s="14"/>
    </row>
    <row r="49" spans="1:9" x14ac:dyDescent="0.2">
      <c r="A49" s="37"/>
      <c r="B49" s="14"/>
      <c r="C49" s="14"/>
      <c r="D49" s="14"/>
      <c r="E49" s="14"/>
    </row>
    <row r="50" spans="1:9" x14ac:dyDescent="0.2">
      <c r="A50" s="37"/>
      <c r="B50" s="14"/>
      <c r="C50" s="14"/>
      <c r="D50" s="14"/>
      <c r="E50" s="14"/>
    </row>
    <row r="51" spans="1:9" x14ac:dyDescent="0.2">
      <c r="A51" s="37"/>
      <c r="B51" s="14"/>
      <c r="C51" s="14"/>
      <c r="D51" s="14"/>
      <c r="E51" s="14"/>
    </row>
    <row r="52" spans="1:9" x14ac:dyDescent="0.2">
      <c r="A52" s="37"/>
      <c r="B52" s="14"/>
      <c r="C52" s="14"/>
      <c r="D52" s="14"/>
      <c r="E52" s="14"/>
    </row>
    <row r="54" spans="1:9" x14ac:dyDescent="0.2">
      <c r="I54" s="40"/>
    </row>
    <row r="55" spans="1:9" x14ac:dyDescent="0.2">
      <c r="I55" s="38"/>
    </row>
    <row r="57" spans="1:9" x14ac:dyDescent="0.2">
      <c r="I57" s="32"/>
    </row>
    <row r="58" spans="1:9" x14ac:dyDescent="0.2">
      <c r="I58" s="1006"/>
    </row>
    <row r="59" spans="1:9" x14ac:dyDescent="0.2">
      <c r="I59" s="1006"/>
    </row>
    <row r="60" spans="1:9" x14ac:dyDescent="0.2">
      <c r="I60" s="1006"/>
    </row>
  </sheetData>
  <sheetProtection sheet="1" objects="1" scenarios="1"/>
  <mergeCells count="58">
    <mergeCell ref="A7:I7"/>
    <mergeCell ref="A10:I10"/>
    <mergeCell ref="A13:I13"/>
    <mergeCell ref="F16:I16"/>
    <mergeCell ref="A11:I11"/>
    <mergeCell ref="A9:I9"/>
    <mergeCell ref="A26:I26"/>
    <mergeCell ref="A24:E25"/>
    <mergeCell ref="A27:I27"/>
    <mergeCell ref="A17:D19"/>
    <mergeCell ref="E17:E19"/>
    <mergeCell ref="A20:B23"/>
    <mergeCell ref="E20:E23"/>
    <mergeCell ref="F23:I23"/>
    <mergeCell ref="F22:I22"/>
    <mergeCell ref="F17:I19"/>
    <mergeCell ref="F20:I21"/>
    <mergeCell ref="F24:I24"/>
    <mergeCell ref="H42:I42"/>
    <mergeCell ref="H43:I43"/>
    <mergeCell ref="B31:D31"/>
    <mergeCell ref="H35:I35"/>
    <mergeCell ref="H36:I36"/>
    <mergeCell ref="H39:I39"/>
    <mergeCell ref="H40:I40"/>
    <mergeCell ref="H41:I41"/>
    <mergeCell ref="I58:I60"/>
    <mergeCell ref="A47:D47"/>
    <mergeCell ref="A33:D33"/>
    <mergeCell ref="A35:D35"/>
    <mergeCell ref="A36:D36"/>
    <mergeCell ref="A37:D37"/>
    <mergeCell ref="A38:D38"/>
    <mergeCell ref="A39:D39"/>
    <mergeCell ref="A40:D40"/>
    <mergeCell ref="A41:D41"/>
    <mergeCell ref="A42:D42"/>
    <mergeCell ref="A46:D46"/>
    <mergeCell ref="H37:I37"/>
    <mergeCell ref="H38:I38"/>
    <mergeCell ref="H44:I44"/>
    <mergeCell ref="B44:D44"/>
    <mergeCell ref="M3:U3"/>
    <mergeCell ref="A1:I1"/>
    <mergeCell ref="A4:I4"/>
    <mergeCell ref="A3:I3"/>
    <mergeCell ref="A30:D30"/>
    <mergeCell ref="A8:I8"/>
    <mergeCell ref="F14:I14"/>
    <mergeCell ref="F15:I15"/>
    <mergeCell ref="A6:I6"/>
    <mergeCell ref="A12:I12"/>
    <mergeCell ref="A5:I5"/>
    <mergeCell ref="A2:I2"/>
    <mergeCell ref="A15:D15"/>
    <mergeCell ref="A16:D16"/>
    <mergeCell ref="A14:E14"/>
    <mergeCell ref="A28:I28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baseColWidth="10" defaultColWidth="8.83203125" defaultRowHeight="13" x14ac:dyDescent="0.15"/>
  <cols>
    <col min="1" max="7" width="12.6640625" style="245" customWidth="1"/>
    <col min="8" max="8" width="14" style="245" customWidth="1"/>
    <col min="9" max="10" width="12.6640625" style="245" customWidth="1"/>
    <col min="11" max="11" width="8.83203125" style="245"/>
    <col min="12" max="12" width="11.33203125" style="245" bestFit="1" customWidth="1"/>
    <col min="13" max="16384" width="8.83203125" style="245"/>
  </cols>
  <sheetData>
    <row r="1" spans="1:14" ht="20" x14ac:dyDescent="0.2">
      <c r="A1" s="1187" t="s">
        <v>19</v>
      </c>
      <c r="B1" s="1188"/>
      <c r="C1" s="1188"/>
      <c r="D1" s="1188"/>
      <c r="E1" s="1188"/>
      <c r="F1" s="1188"/>
      <c r="G1" s="1188"/>
      <c r="H1" s="1188"/>
      <c r="I1" s="1189"/>
    </row>
    <row r="2" spans="1:14" ht="39" customHeight="1" x14ac:dyDescent="0.2">
      <c r="A2" s="1702" t="s">
        <v>202</v>
      </c>
      <c r="B2" s="1703"/>
      <c r="C2" s="1703"/>
      <c r="D2" s="1703"/>
      <c r="E2" s="1703"/>
      <c r="F2" s="1703"/>
      <c r="G2" s="1703"/>
      <c r="H2" s="1703"/>
      <c r="I2" s="1704"/>
    </row>
    <row r="3" spans="1:14" ht="20" x14ac:dyDescent="0.2">
      <c r="A3" s="1198" t="str">
        <f>'Forside 1'!A6:I6</f>
        <v>Gældende fra 1. oktober 2018</v>
      </c>
      <c r="B3" s="1199"/>
      <c r="C3" s="1199"/>
      <c r="D3" s="1199"/>
      <c r="E3" s="1199"/>
      <c r="F3" s="1199"/>
      <c r="G3" s="1199"/>
      <c r="H3" s="1199"/>
      <c r="I3" s="1200"/>
    </row>
    <row r="4" spans="1:14" s="357" customFormat="1" ht="34" customHeight="1" thickBot="1" x14ac:dyDescent="0.2">
      <c r="A4" s="1794" t="s">
        <v>379</v>
      </c>
      <c r="B4" s="1795"/>
      <c r="C4" s="1795"/>
      <c r="D4" s="1795"/>
      <c r="E4" s="1795"/>
      <c r="F4" s="1795"/>
      <c r="G4" s="1795"/>
      <c r="H4" s="1795"/>
      <c r="I4" s="1796"/>
    </row>
    <row r="5" spans="1:14" ht="14" x14ac:dyDescent="0.15">
      <c r="A5" s="265"/>
      <c r="B5" s="265"/>
      <c r="C5" s="265"/>
      <c r="D5" s="265"/>
      <c r="E5" s="265"/>
      <c r="F5" s="265"/>
      <c r="G5" s="265"/>
      <c r="H5" s="265"/>
      <c r="I5" s="265"/>
      <c r="J5" s="265"/>
    </row>
    <row r="6" spans="1:14" ht="15" thickBot="1" x14ac:dyDescent="0.2">
      <c r="A6" s="265"/>
      <c r="B6" s="265"/>
      <c r="C6" s="265"/>
      <c r="D6" s="265"/>
      <c r="E6" s="265"/>
      <c r="F6" s="265"/>
      <c r="G6" s="265"/>
      <c r="H6" s="265"/>
      <c r="I6" s="265"/>
      <c r="J6" s="265"/>
    </row>
    <row r="7" spans="1:14" s="275" customFormat="1" ht="19" thickBot="1" x14ac:dyDescent="0.25">
      <c r="A7" s="1705" t="s">
        <v>335</v>
      </c>
      <c r="B7" s="1706"/>
      <c r="C7" s="1706"/>
      <c r="D7" s="1706"/>
      <c r="E7" s="1706"/>
      <c r="F7" s="1707"/>
      <c r="G7" s="1705" t="s">
        <v>180</v>
      </c>
      <c r="H7" s="1706"/>
      <c r="I7" s="1707"/>
      <c r="J7" s="927"/>
    </row>
    <row r="8" spans="1:14" s="275" customFormat="1" ht="14" x14ac:dyDescent="0.15">
      <c r="A8" s="637" t="s">
        <v>57</v>
      </c>
      <c r="B8" s="638" t="s">
        <v>76</v>
      </c>
      <c r="C8" s="638" t="s">
        <v>77</v>
      </c>
      <c r="D8" s="638" t="s">
        <v>78</v>
      </c>
      <c r="E8" s="638" t="s">
        <v>79</v>
      </c>
      <c r="F8" s="638" t="s">
        <v>80</v>
      </c>
      <c r="G8" s="1788" t="s">
        <v>485</v>
      </c>
      <c r="H8" s="1789"/>
      <c r="I8" s="928">
        <v>0.14000000000000001</v>
      </c>
    </row>
    <row r="9" spans="1:14" s="275" customFormat="1" ht="14" customHeight="1" x14ac:dyDescent="0.15">
      <c r="A9" s="314" t="s">
        <v>245</v>
      </c>
      <c r="B9" s="579">
        <f>'Statens skalatrin'!D46+('3f (DFF, DPS, DSSV)'!F24/12)</f>
        <v>20564.890017000002</v>
      </c>
      <c r="C9" s="579">
        <f>'Statens skalatrin'!F46+('3f (DFF, DPS, DSSV)'!F24/12)</f>
        <v>20989.560017</v>
      </c>
      <c r="D9" s="579">
        <f>'Statens skalatrin'!H46+('3f (DFF, DPS, DSSV)'!F24/12)</f>
        <v>21283.480016999998</v>
      </c>
      <c r="E9" s="579">
        <f>'Statens skalatrin'!J46+('3f (DFF, DPS, DSSV)'!F24/12)</f>
        <v>21707.980016999998</v>
      </c>
      <c r="F9" s="579">
        <f>'Statens skalatrin'!L46+('3f (DFF, DPS, DSSV)'!F24/12)</f>
        <v>22001.890017000002</v>
      </c>
      <c r="G9" s="1790">
        <f>'Statens skalatrin'!O46</f>
        <v>19063.66</v>
      </c>
      <c r="H9" s="1791"/>
      <c r="I9" s="410">
        <f>G9*$I$8</f>
        <v>2668.9124000000002</v>
      </c>
      <c r="J9" s="278"/>
      <c r="K9" s="274"/>
    </row>
    <row r="10" spans="1:14" s="275" customFormat="1" ht="15" customHeight="1" x14ac:dyDescent="0.15">
      <c r="A10" s="314">
        <v>17</v>
      </c>
      <c r="B10" s="579">
        <f>'Statens skalatrin'!D55</f>
        <v>21410.33</v>
      </c>
      <c r="C10" s="579">
        <f>'Statens skalatrin'!F55</f>
        <v>21868</v>
      </c>
      <c r="D10" s="579">
        <f>'Statens skalatrin'!H55</f>
        <v>22184.83</v>
      </c>
      <c r="E10" s="579">
        <f>'Statens skalatrin'!J55</f>
        <v>22642.42</v>
      </c>
      <c r="F10" s="579">
        <f>'Statens skalatrin'!L55</f>
        <v>22959.08</v>
      </c>
      <c r="G10" s="1790">
        <f>'Statens skalatrin'!O55</f>
        <v>20108.61</v>
      </c>
      <c r="H10" s="1791"/>
      <c r="I10" s="410">
        <f>G10*$I$8</f>
        <v>2815.2054000000003</v>
      </c>
      <c r="J10" s="278"/>
      <c r="K10" s="274"/>
    </row>
    <row r="11" spans="1:14" s="275" customFormat="1" ht="15" customHeight="1" thickBot="1" x14ac:dyDescent="0.2">
      <c r="A11" s="315" t="s">
        <v>181</v>
      </c>
      <c r="B11" s="580" t="e">
        <f>'Statens skalatrin'!D64+('3f (DFF, DPS, DSSV)'!#REF!/12)</f>
        <v>#REF!</v>
      </c>
      <c r="C11" s="580" t="e">
        <f>'Statens skalatrin'!F64+('3f (DFF, DPS, DSSV)'!#REF!/12)</f>
        <v>#REF!</v>
      </c>
      <c r="D11" s="580" t="e">
        <f>'Statens skalatrin'!H64+('3f (DFF, DPS, DSSV)'!#REF!/12)</f>
        <v>#REF!</v>
      </c>
      <c r="E11" s="580" t="e">
        <f>'Statens skalatrin'!J64+('3f (DFF, DPS, DSSV)'!#REF!/12)</f>
        <v>#REF!</v>
      </c>
      <c r="F11" s="580" t="e">
        <f>'Statens skalatrin'!L64+('3f (DFF, DPS, DSSV)'!#REF!/12)</f>
        <v>#REF!</v>
      </c>
      <c r="G11" s="1792">
        <f>'Statens skalatrin'!O64</f>
        <v>21242.31</v>
      </c>
      <c r="H11" s="1793"/>
      <c r="I11" s="411">
        <f>G11*$I$8</f>
        <v>2973.9234000000006</v>
      </c>
      <c r="J11" s="278"/>
      <c r="K11" s="274"/>
      <c r="N11" s="277"/>
    </row>
    <row r="12" spans="1:14" s="275" customFormat="1" ht="14" x14ac:dyDescent="0.15">
      <c r="B12" s="276"/>
      <c r="C12" s="276"/>
      <c r="D12" s="276"/>
      <c r="E12" s="276"/>
      <c r="F12" s="276"/>
    </row>
    <row r="13" spans="1:14" s="275" customFormat="1" ht="15" thickBot="1" x14ac:dyDescent="0.2">
      <c r="B13" s="276"/>
      <c r="C13" s="276"/>
      <c r="D13" s="276"/>
      <c r="E13" s="276"/>
      <c r="F13" s="276"/>
    </row>
    <row r="14" spans="1:14" s="275" customFormat="1" ht="19" thickBot="1" x14ac:dyDescent="0.25">
      <c r="A14" s="1705" t="s">
        <v>336</v>
      </c>
      <c r="B14" s="1706"/>
      <c r="C14" s="1706"/>
      <c r="D14" s="1706"/>
      <c r="E14" s="1706"/>
      <c r="F14" s="1707"/>
    </row>
    <row r="15" spans="1:14" s="275" customFormat="1" ht="15" customHeight="1" thickBot="1" x14ac:dyDescent="0.2">
      <c r="A15" s="1778" t="s">
        <v>183</v>
      </c>
      <c r="B15" s="1779"/>
      <c r="C15" s="1779"/>
      <c r="D15" s="1779"/>
      <c r="E15" s="1779"/>
      <c r="F15" s="1780"/>
    </row>
    <row r="16" spans="1:14" s="275" customFormat="1" ht="16" customHeight="1" x14ac:dyDescent="0.15">
      <c r="A16" s="514" t="s">
        <v>57</v>
      </c>
      <c r="B16" s="515" t="s">
        <v>76</v>
      </c>
      <c r="C16" s="514" t="s">
        <v>77</v>
      </c>
      <c r="D16" s="515" t="s">
        <v>78</v>
      </c>
      <c r="E16" s="514" t="s">
        <v>79</v>
      </c>
      <c r="F16" s="516" t="s">
        <v>80</v>
      </c>
    </row>
    <row r="17" spans="1:12" s="275" customFormat="1" ht="16" customHeight="1" thickBot="1" x14ac:dyDescent="0.2">
      <c r="A17" s="288" t="s">
        <v>245</v>
      </c>
      <c r="B17" s="581">
        <f>B9*12/1924</f>
        <v>128.26334729937631</v>
      </c>
      <c r="C17" s="582">
        <f>C9*12/1924</f>
        <v>130.91201673804574</v>
      </c>
      <c r="D17" s="581">
        <f>D9*12/1924</f>
        <v>132.74519761122662</v>
      </c>
      <c r="E17" s="582">
        <f>(E9*12)/1924</f>
        <v>135.39280675883575</v>
      </c>
      <c r="F17" s="583">
        <f>(F9*12)/1924</f>
        <v>137.22592526195427</v>
      </c>
      <c r="H17" s="274"/>
      <c r="I17" s="274"/>
      <c r="J17" s="274"/>
      <c r="K17" s="274"/>
      <c r="L17" s="274"/>
    </row>
    <row r="18" spans="1:12" s="275" customFormat="1" ht="16" customHeight="1" x14ac:dyDescent="0.15">
      <c r="A18" s="284"/>
      <c r="B18" s="283"/>
      <c r="C18" s="283"/>
      <c r="D18" s="283"/>
      <c r="E18" s="283"/>
      <c r="F18" s="283"/>
      <c r="H18" s="274"/>
      <c r="I18" s="274"/>
      <c r="J18" s="274"/>
      <c r="K18" s="274"/>
      <c r="L18" s="274"/>
    </row>
    <row r="19" spans="1:12" s="412" customFormat="1" ht="15" thickBot="1" x14ac:dyDescent="0.2">
      <c r="A19" s="284"/>
      <c r="B19" s="283"/>
      <c r="C19" s="283"/>
      <c r="D19" s="283"/>
      <c r="E19" s="283"/>
      <c r="F19" s="283"/>
    </row>
    <row r="20" spans="1:12" ht="20" customHeight="1" x14ac:dyDescent="0.15">
      <c r="A20" s="1097" t="s">
        <v>184</v>
      </c>
      <c r="B20" s="1098"/>
      <c r="C20" s="1098"/>
      <c r="D20" s="1098"/>
      <c r="E20" s="1098"/>
      <c r="F20" s="1098"/>
      <c r="G20" s="1098"/>
      <c r="H20" s="1098"/>
      <c r="I20" s="1099"/>
      <c r="J20" s="265"/>
    </row>
    <row r="21" spans="1:12" ht="20" customHeight="1" thickBot="1" x14ac:dyDescent="0.2">
      <c r="A21" s="1178" t="s">
        <v>345</v>
      </c>
      <c r="B21" s="1179"/>
      <c r="C21" s="1179"/>
      <c r="D21" s="1179"/>
      <c r="E21" s="1179"/>
      <c r="F21" s="1179"/>
      <c r="G21" s="1179"/>
      <c r="H21" s="1179"/>
      <c r="I21" s="1180"/>
      <c r="J21" s="265"/>
    </row>
    <row r="22" spans="1:12" s="275" customFormat="1" ht="30" customHeight="1" thickBot="1" x14ac:dyDescent="0.2">
      <c r="A22" s="1693"/>
      <c r="B22" s="1694"/>
      <c r="C22" s="1694"/>
      <c r="D22" s="1694"/>
      <c r="E22" s="1694"/>
      <c r="F22" s="1694"/>
      <c r="G22" s="1694"/>
      <c r="H22" s="795" t="s">
        <v>391</v>
      </c>
      <c r="I22" s="788" t="s">
        <v>392</v>
      </c>
    </row>
    <row r="23" spans="1:12" s="275" customFormat="1" ht="15" thickBot="1" x14ac:dyDescent="0.2">
      <c r="A23" s="1740"/>
      <c r="B23" s="1741"/>
      <c r="C23" s="1741"/>
      <c r="D23" s="1741"/>
      <c r="E23" s="1741"/>
      <c r="F23" s="1741"/>
      <c r="G23" s="1742"/>
      <c r="H23" s="678">
        <v>40999</v>
      </c>
      <c r="I23" s="798" t="str">
        <f>'Løntabel gældende fra'!D1</f>
        <v>01/10/2018</v>
      </c>
    </row>
    <row r="24" spans="1:12" s="275" customFormat="1" ht="17" customHeight="1" x14ac:dyDescent="0.15">
      <c r="A24" s="1776" t="s">
        <v>185</v>
      </c>
      <c r="B24" s="1777"/>
      <c r="C24" s="1777"/>
      <c r="D24" s="1777"/>
      <c r="E24" s="1777"/>
      <c r="F24" s="639"/>
      <c r="G24" s="640" t="s">
        <v>177</v>
      </c>
      <c r="H24" s="189">
        <v>22.32</v>
      </c>
      <c r="I24" s="644">
        <f>H24+(H24*'Løntabel gældende fra'!$D$7%)</f>
        <v>23.99337504</v>
      </c>
    </row>
    <row r="25" spans="1:12" s="275" customFormat="1" ht="17" customHeight="1" x14ac:dyDescent="0.15">
      <c r="A25" s="1700" t="s">
        <v>186</v>
      </c>
      <c r="B25" s="1701"/>
      <c r="C25" s="1701"/>
      <c r="D25" s="1701"/>
      <c r="E25" s="1701"/>
      <c r="F25" s="645"/>
      <c r="G25" s="273" t="s">
        <v>177</v>
      </c>
      <c r="H25" s="211">
        <v>39.92</v>
      </c>
      <c r="I25" s="644">
        <f>H25+(H25*'Løntabel gældende fra'!$D$7%)</f>
        <v>42.912882240000002</v>
      </c>
    </row>
    <row r="26" spans="1:12" s="275" customFormat="1" ht="17" customHeight="1" x14ac:dyDescent="0.15">
      <c r="A26" s="1698" t="s">
        <v>187</v>
      </c>
      <c r="B26" s="1699"/>
      <c r="C26" s="1699"/>
      <c r="D26" s="1699"/>
      <c r="E26" s="1699"/>
      <c r="F26" s="1699"/>
      <c r="G26" s="273" t="s">
        <v>177</v>
      </c>
      <c r="H26" s="211">
        <v>39.92</v>
      </c>
      <c r="I26" s="644">
        <f>H26+(H26*'Løntabel gældende fra'!$D$7%)</f>
        <v>42.912882240000002</v>
      </c>
    </row>
    <row r="27" spans="1:12" s="275" customFormat="1" ht="17" customHeight="1" thickBot="1" x14ac:dyDescent="0.2">
      <c r="A27" s="304" t="s">
        <v>176</v>
      </c>
      <c r="B27" s="303"/>
      <c r="C27" s="303"/>
      <c r="D27" s="303"/>
      <c r="E27" s="287"/>
      <c r="F27" s="287"/>
      <c r="G27" s="298" t="s">
        <v>177</v>
      </c>
      <c r="H27" s="190">
        <v>39.92</v>
      </c>
      <c r="I27" s="646">
        <f>H27+(H27*'Løntabel gældende fra'!$D$7%)</f>
        <v>42.912882240000002</v>
      </c>
    </row>
    <row r="28" spans="1:12" s="275" customFormat="1" ht="14" x14ac:dyDescent="0.15">
      <c r="A28" s="265"/>
      <c r="B28" s="265"/>
      <c r="C28" s="265"/>
      <c r="D28" s="265"/>
      <c r="E28" s="265"/>
      <c r="F28" s="266"/>
      <c r="G28" s="265"/>
      <c r="H28" s="266"/>
      <c r="I28" s="265"/>
    </row>
    <row r="29" spans="1:12" s="275" customFormat="1" ht="15" thickBot="1" x14ac:dyDescent="0.2">
      <c r="A29" s="265"/>
      <c r="B29" s="265"/>
      <c r="C29" s="265"/>
      <c r="D29" s="265"/>
      <c r="E29" s="265"/>
      <c r="F29" s="266"/>
      <c r="G29" s="265"/>
      <c r="H29" s="266"/>
      <c r="I29" s="265"/>
    </row>
    <row r="30" spans="1:12" s="275" customFormat="1" ht="18" x14ac:dyDescent="0.15">
      <c r="A30" s="1097" t="s">
        <v>188</v>
      </c>
      <c r="B30" s="1098"/>
      <c r="C30" s="1098"/>
      <c r="D30" s="1098"/>
      <c r="E30" s="1098"/>
      <c r="F30" s="1098"/>
      <c r="G30" s="1098"/>
      <c r="H30" s="1098"/>
      <c r="I30" s="1099"/>
    </row>
    <row r="31" spans="1:12" s="275" customFormat="1" ht="17" thickBot="1" x14ac:dyDescent="0.2">
      <c r="A31" s="1178" t="s">
        <v>341</v>
      </c>
      <c r="B31" s="1179"/>
      <c r="C31" s="1179"/>
      <c r="D31" s="1179"/>
      <c r="E31" s="1179"/>
      <c r="F31" s="1179"/>
      <c r="G31" s="1179"/>
      <c r="H31" s="1179"/>
      <c r="I31" s="1180"/>
    </row>
    <row r="32" spans="1:12" s="275" customFormat="1" ht="29" thickBot="1" x14ac:dyDescent="0.2">
      <c r="A32" s="1740"/>
      <c r="B32" s="1741"/>
      <c r="C32" s="1741"/>
      <c r="D32" s="1741"/>
      <c r="E32" s="1741"/>
      <c r="F32" s="1741"/>
      <c r="G32" s="1742"/>
      <c r="H32" s="795" t="s">
        <v>391</v>
      </c>
      <c r="I32" s="788" t="s">
        <v>392</v>
      </c>
    </row>
    <row r="33" spans="1:9" s="275" customFormat="1" ht="15" thickBot="1" x14ac:dyDescent="0.2">
      <c r="A33" s="1785"/>
      <c r="B33" s="1786"/>
      <c r="C33" s="1786"/>
      <c r="D33" s="1786"/>
      <c r="E33" s="1786"/>
      <c r="F33" s="1786"/>
      <c r="G33" s="1787"/>
      <c r="H33" s="678">
        <v>40999</v>
      </c>
      <c r="I33" s="798" t="str">
        <f>'Løntabel gældende fra'!D1</f>
        <v>01/10/2018</v>
      </c>
    </row>
    <row r="34" spans="1:9" s="275" customFormat="1" ht="15" thickBot="1" x14ac:dyDescent="0.2">
      <c r="A34" s="1247" t="s">
        <v>322</v>
      </c>
      <c r="B34" s="1248"/>
      <c r="C34" s="1248"/>
      <c r="D34" s="1248"/>
      <c r="E34" s="1248"/>
      <c r="F34" s="689"/>
      <c r="G34" s="690" t="s">
        <v>177</v>
      </c>
      <c r="H34" s="191">
        <v>6.88</v>
      </c>
      <c r="I34" s="630">
        <f>H34+(H34*'Løntabel gældende fra'!D7%)</f>
        <v>7.3958073600000001</v>
      </c>
    </row>
    <row r="35" spans="1:9" s="275" customFormat="1" ht="14" x14ac:dyDescent="0.15">
      <c r="A35" s="265"/>
      <c r="B35" s="265"/>
      <c r="C35" s="265"/>
      <c r="D35" s="265"/>
      <c r="E35" s="265"/>
      <c r="F35" s="266"/>
      <c r="G35" s="265"/>
      <c r="H35" s="266"/>
      <c r="I35" s="265"/>
    </row>
    <row r="36" spans="1:9" s="275" customFormat="1" ht="15" thickBot="1" x14ac:dyDescent="0.2">
      <c r="A36" s="265"/>
      <c r="B36" s="265"/>
      <c r="C36" s="265"/>
      <c r="D36" s="265"/>
      <c r="E36" s="265"/>
      <c r="F36" s="266"/>
      <c r="G36" s="265"/>
      <c r="H36" s="266"/>
      <c r="I36" s="265"/>
    </row>
    <row r="37" spans="1:9" s="275" customFormat="1" ht="18" x14ac:dyDescent="0.15">
      <c r="A37" s="1097" t="s">
        <v>369</v>
      </c>
      <c r="B37" s="1098"/>
      <c r="C37" s="1098"/>
      <c r="D37" s="1098"/>
      <c r="E37" s="1098"/>
      <c r="F37" s="1098"/>
      <c r="G37" s="1098"/>
      <c r="H37" s="1098"/>
      <c r="I37" s="1099"/>
    </row>
    <row r="38" spans="1:9" s="275" customFormat="1" ht="17" thickBot="1" x14ac:dyDescent="0.2">
      <c r="A38" s="1773" t="s">
        <v>345</v>
      </c>
      <c r="B38" s="1774"/>
      <c r="C38" s="1774"/>
      <c r="D38" s="1774"/>
      <c r="E38" s="1774"/>
      <c r="F38" s="1774"/>
      <c r="G38" s="1774"/>
      <c r="H38" s="1774"/>
      <c r="I38" s="1775"/>
    </row>
    <row r="39" spans="1:9" s="275" customFormat="1" ht="33" customHeight="1" x14ac:dyDescent="0.15">
      <c r="A39" s="1746"/>
      <c r="B39" s="1747"/>
      <c r="C39" s="1747"/>
      <c r="D39" s="1747"/>
      <c r="E39" s="1747"/>
      <c r="F39" s="1747"/>
      <c r="G39" s="1748"/>
      <c r="H39" s="793" t="s">
        <v>137</v>
      </c>
      <c r="I39" s="787" t="s">
        <v>390</v>
      </c>
    </row>
    <row r="40" spans="1:9" s="275" customFormat="1" ht="15" thickBot="1" x14ac:dyDescent="0.2">
      <c r="A40" s="1782"/>
      <c r="B40" s="1783"/>
      <c r="C40" s="1783"/>
      <c r="D40" s="1783"/>
      <c r="E40" s="1783"/>
      <c r="F40" s="1783"/>
      <c r="G40" s="1784"/>
      <c r="H40" s="678">
        <v>40999</v>
      </c>
      <c r="I40" s="798" t="str">
        <f>'Løntabel gældende fra'!D1</f>
        <v>01/10/2018</v>
      </c>
    </row>
    <row r="41" spans="1:9" s="275" customFormat="1" ht="15" thickBot="1" x14ac:dyDescent="0.2">
      <c r="A41" s="1247" t="s">
        <v>323</v>
      </c>
      <c r="B41" s="1248"/>
      <c r="C41" s="1248"/>
      <c r="D41" s="1248"/>
      <c r="E41" s="1248"/>
      <c r="F41" s="689"/>
      <c r="G41" s="690"/>
      <c r="H41" s="191">
        <v>655</v>
      </c>
      <c r="I41" s="630">
        <f>H41+(H41*'Løntabel gældende fra'!D7%)</f>
        <v>704.10666000000003</v>
      </c>
    </row>
    <row r="42" spans="1:9" s="275" customFormat="1" ht="14" x14ac:dyDescent="0.15">
      <c r="A42" s="265"/>
      <c r="B42" s="265"/>
      <c r="C42" s="265"/>
      <c r="D42" s="265"/>
      <c r="E42" s="265"/>
      <c r="F42" s="266"/>
      <c r="G42" s="265"/>
      <c r="H42" s="266"/>
      <c r="I42" s="265"/>
    </row>
    <row r="43" spans="1:9" s="275" customFormat="1" ht="15" thickBot="1" x14ac:dyDescent="0.2">
      <c r="A43" s="265"/>
      <c r="B43" s="265"/>
      <c r="C43" s="265"/>
      <c r="D43" s="265"/>
      <c r="E43" s="265"/>
      <c r="F43" s="266"/>
      <c r="G43" s="265"/>
      <c r="H43" s="266"/>
      <c r="I43" s="265"/>
    </row>
    <row r="44" spans="1:9" s="275" customFormat="1" ht="18" x14ac:dyDescent="0.15">
      <c r="A44" s="1097" t="s">
        <v>368</v>
      </c>
      <c r="B44" s="1098"/>
      <c r="C44" s="1098"/>
      <c r="D44" s="1098"/>
      <c r="E44" s="1098"/>
      <c r="F44" s="1098"/>
      <c r="G44" s="1098"/>
      <c r="H44" s="1098"/>
      <c r="I44" s="1099"/>
    </row>
    <row r="45" spans="1:9" s="275" customFormat="1" ht="17" thickBot="1" x14ac:dyDescent="0.2">
      <c r="A45" s="1773" t="s">
        <v>341</v>
      </c>
      <c r="B45" s="1774"/>
      <c r="C45" s="1774"/>
      <c r="D45" s="1774"/>
      <c r="E45" s="1774"/>
      <c r="F45" s="1774"/>
      <c r="G45" s="1774"/>
      <c r="H45" s="1774"/>
      <c r="I45" s="1775"/>
    </row>
    <row r="46" spans="1:9" s="275" customFormat="1" ht="28" x14ac:dyDescent="0.15">
      <c r="A46" s="1244"/>
      <c r="B46" s="1245"/>
      <c r="C46" s="1245"/>
      <c r="D46" s="1245"/>
      <c r="E46" s="1245"/>
      <c r="F46" s="1245"/>
      <c r="G46" s="1246"/>
      <c r="H46" s="793" t="s">
        <v>137</v>
      </c>
      <c r="I46" s="787" t="s">
        <v>390</v>
      </c>
    </row>
    <row r="47" spans="1:9" s="275" customFormat="1" ht="15" thickBot="1" x14ac:dyDescent="0.2">
      <c r="A47" s="1247"/>
      <c r="B47" s="1248"/>
      <c r="C47" s="1248"/>
      <c r="D47" s="1248"/>
      <c r="E47" s="1248"/>
      <c r="F47" s="1248"/>
      <c r="G47" s="1249"/>
      <c r="H47" s="678">
        <v>40999</v>
      </c>
      <c r="I47" s="798" t="str">
        <f>'Løntabel gældende fra'!D1</f>
        <v>01/10/2018</v>
      </c>
    </row>
    <row r="48" spans="1:9" s="275" customFormat="1" ht="15" thickBot="1" x14ac:dyDescent="0.2">
      <c r="A48" s="1247" t="s">
        <v>196</v>
      </c>
      <c r="B48" s="1248"/>
      <c r="C48" s="1248"/>
      <c r="D48" s="1248"/>
      <c r="E48" s="1248"/>
      <c r="F48" s="689"/>
      <c r="G48" s="690"/>
      <c r="H48" s="191">
        <v>10500</v>
      </c>
      <c r="I48" s="630">
        <f>H48+(H48*'Løntabel gældende fra'!D7%)</f>
        <v>11287.206</v>
      </c>
    </row>
    <row r="49" spans="1:10" s="275" customFormat="1" ht="14" x14ac:dyDescent="0.15"/>
    <row r="50" spans="1:10" s="275" customFormat="1" ht="15" thickBot="1" x14ac:dyDescent="0.2"/>
    <row r="51" spans="1:10" s="275" customFormat="1" ht="18" x14ac:dyDescent="0.15">
      <c r="A51" s="1097" t="s">
        <v>367</v>
      </c>
      <c r="B51" s="1098"/>
      <c r="C51" s="1098"/>
      <c r="D51" s="1098"/>
      <c r="E51" s="1098"/>
      <c r="F51" s="1098"/>
      <c r="G51" s="1098"/>
      <c r="H51" s="1098"/>
      <c r="I51" s="1099"/>
    </row>
    <row r="52" spans="1:10" s="275" customFormat="1" ht="17" thickBot="1" x14ac:dyDescent="0.2">
      <c r="A52" s="1178" t="s">
        <v>341</v>
      </c>
      <c r="B52" s="1179"/>
      <c r="C52" s="1179"/>
      <c r="D52" s="1179"/>
      <c r="E52" s="1179"/>
      <c r="F52" s="1179"/>
      <c r="G52" s="1179"/>
      <c r="H52" s="1179"/>
      <c r="I52" s="1180"/>
    </row>
    <row r="53" spans="1:10" s="275" customFormat="1" ht="14" x14ac:dyDescent="0.15">
      <c r="A53" s="1743" t="s">
        <v>459</v>
      </c>
      <c r="B53" s="1744"/>
      <c r="C53" s="1744"/>
      <c r="D53" s="1744"/>
      <c r="E53" s="1744"/>
      <c r="F53" s="1744"/>
      <c r="G53" s="1745"/>
      <c r="H53" s="684" t="s">
        <v>99</v>
      </c>
      <c r="I53" s="686" t="s">
        <v>104</v>
      </c>
    </row>
    <row r="54" spans="1:10" s="275" customFormat="1" ht="15" thickBot="1" x14ac:dyDescent="0.2">
      <c r="A54" s="1715"/>
      <c r="B54" s="1716"/>
      <c r="C54" s="1716"/>
      <c r="D54" s="1716"/>
      <c r="E54" s="1716"/>
      <c r="F54" s="1716"/>
      <c r="G54" s="1728"/>
      <c r="H54" s="687">
        <v>40999</v>
      </c>
      <c r="I54" s="798" t="str">
        <f>'Løntabel gældende fra'!D1</f>
        <v>01/10/2018</v>
      </c>
    </row>
    <row r="55" spans="1:10" s="275" customFormat="1" ht="15" thickBot="1" x14ac:dyDescent="0.2">
      <c r="A55" s="1729" t="s">
        <v>330</v>
      </c>
      <c r="B55" s="1730"/>
      <c r="C55" s="1730"/>
      <c r="D55" s="1730"/>
      <c r="E55" s="1730"/>
      <c r="F55" s="271"/>
      <c r="G55" s="282"/>
      <c r="H55" s="341">
        <v>0</v>
      </c>
      <c r="I55" s="334">
        <v>0</v>
      </c>
    </row>
    <row r="56" spans="1:10" s="275" customFormat="1" ht="14" x14ac:dyDescent="0.15"/>
    <row r="57" spans="1:10" s="275" customFormat="1" ht="14" x14ac:dyDescent="0.15">
      <c r="A57" s="1781"/>
      <c r="B57" s="1781"/>
      <c r="C57" s="1781"/>
      <c r="D57" s="1781"/>
      <c r="E57" s="1781"/>
      <c r="F57" s="1781"/>
      <c r="G57" s="1781"/>
      <c r="H57" s="1781"/>
      <c r="I57" s="1781"/>
      <c r="J57" s="1781"/>
    </row>
    <row r="58" spans="1:10" s="275" customFormat="1" ht="14" x14ac:dyDescent="0.15">
      <c r="A58" s="631"/>
    </row>
    <row r="59" spans="1:10" s="275" customFormat="1" ht="14" x14ac:dyDescent="0.15"/>
    <row r="60" spans="1:10" s="275" customFormat="1" ht="14" x14ac:dyDescent="0.15"/>
    <row r="61" spans="1:10" s="275" customFormat="1" ht="14" x14ac:dyDescent="0.15"/>
    <row r="62" spans="1:10" s="275" customFormat="1" ht="14" x14ac:dyDescent="0.15"/>
    <row r="72" s="275" customFormat="1" ht="14" x14ac:dyDescent="0.15"/>
    <row r="73" s="275" customFormat="1" ht="14" x14ac:dyDescent="0.15"/>
    <row r="74" s="275" customFormat="1" ht="14" x14ac:dyDescent="0.15"/>
    <row r="75" s="275" customFormat="1" ht="14" x14ac:dyDescent="0.15"/>
    <row r="76" s="275" customFormat="1" ht="14" x14ac:dyDescent="0.15"/>
    <row r="77" s="275" customFormat="1" ht="14" x14ac:dyDescent="0.15"/>
    <row r="78" s="275" customFormat="1" ht="14" x14ac:dyDescent="0.15"/>
    <row r="79" s="275" customFormat="1" ht="14" x14ac:dyDescent="0.15"/>
    <row r="80" s="275" customFormat="1" ht="14" x14ac:dyDescent="0.15"/>
    <row r="81" s="275" customFormat="1" ht="14" x14ac:dyDescent="0.15"/>
    <row r="82" s="275" customFormat="1" ht="14" x14ac:dyDescent="0.15"/>
    <row r="83" s="275" customFormat="1" ht="14" x14ac:dyDescent="0.15"/>
    <row r="84" s="275" customFormat="1" ht="14" x14ac:dyDescent="0.15"/>
    <row r="85" s="275" customFormat="1" ht="14" x14ac:dyDescent="0.15"/>
    <row r="86" s="275" customFormat="1" ht="14" x14ac:dyDescent="0.15"/>
    <row r="87" s="275" customFormat="1" ht="14" x14ac:dyDescent="0.15"/>
    <row r="88" s="275" customFormat="1" ht="14" x14ac:dyDescent="0.15"/>
    <row r="89" s="275" customFormat="1" ht="14" x14ac:dyDescent="0.15"/>
    <row r="90" s="275" customFormat="1" ht="14" x14ac:dyDescent="0.15"/>
    <row r="91" s="275" customFormat="1" ht="14" x14ac:dyDescent="0.15"/>
    <row r="92" s="275" customFormat="1" ht="14" x14ac:dyDescent="0.15"/>
    <row r="93" s="275" customFormat="1" ht="14" x14ac:dyDescent="0.15"/>
    <row r="94" s="275" customFormat="1" ht="14" x14ac:dyDescent="0.15"/>
    <row r="95" s="275" customFormat="1" ht="14" x14ac:dyDescent="0.15"/>
    <row r="96" s="275" customFormat="1" ht="14" x14ac:dyDescent="0.15"/>
    <row r="97" s="275" customFormat="1" ht="14" x14ac:dyDescent="0.15"/>
    <row r="98" s="275" customFormat="1" ht="14" x14ac:dyDescent="0.15"/>
    <row r="99" s="275" customFormat="1" ht="14" x14ac:dyDescent="0.15"/>
    <row r="100" s="275" customFormat="1" ht="14" x14ac:dyDescent="0.15"/>
    <row r="101" s="275" customFormat="1" ht="14" x14ac:dyDescent="0.15"/>
    <row r="102" s="275" customFormat="1" ht="14" x14ac:dyDescent="0.15"/>
    <row r="103" s="275" customFormat="1" ht="14" x14ac:dyDescent="0.15"/>
    <row r="104" s="275" customFormat="1" ht="14" x14ac:dyDescent="0.15"/>
    <row r="105" s="275" customFormat="1" ht="14" x14ac:dyDescent="0.15"/>
    <row r="106" s="275" customFormat="1" ht="14" x14ac:dyDescent="0.15"/>
    <row r="107" s="275" customFormat="1" ht="14" x14ac:dyDescent="0.15"/>
    <row r="108" s="275" customFormat="1" ht="14" x14ac:dyDescent="0.15"/>
    <row r="109" s="275" customFormat="1" ht="14" x14ac:dyDescent="0.15"/>
    <row r="110" s="275" customFormat="1" ht="14" x14ac:dyDescent="0.15"/>
    <row r="111" s="275" customFormat="1" ht="14" x14ac:dyDescent="0.15"/>
    <row r="112" s="275" customFormat="1" ht="14" x14ac:dyDescent="0.15"/>
    <row r="113" s="275" customFormat="1" ht="14" x14ac:dyDescent="0.15"/>
    <row r="114" s="275" customFormat="1" ht="14" x14ac:dyDescent="0.15"/>
    <row r="115" s="275" customFormat="1" ht="14" x14ac:dyDescent="0.15"/>
    <row r="116" s="275" customFormat="1" ht="14" x14ac:dyDescent="0.15"/>
    <row r="117" s="275" customFormat="1" ht="14" x14ac:dyDescent="0.15"/>
    <row r="118" s="275" customFormat="1" ht="14" x14ac:dyDescent="0.15"/>
    <row r="119" s="275" customFormat="1" ht="14" x14ac:dyDescent="0.15"/>
    <row r="120" s="275" customFormat="1" ht="14" x14ac:dyDescent="0.15"/>
    <row r="121" s="275" customFormat="1" ht="14" x14ac:dyDescent="0.15"/>
    <row r="122" s="275" customFormat="1" ht="14" x14ac:dyDescent="0.15"/>
    <row r="123" s="275" customFormat="1" ht="14" x14ac:dyDescent="0.15"/>
    <row r="124" s="275" customFormat="1" ht="14" x14ac:dyDescent="0.15"/>
    <row r="125" s="275" customFormat="1" ht="14" x14ac:dyDescent="0.15"/>
    <row r="126" s="275" customFormat="1" ht="14" x14ac:dyDescent="0.15"/>
    <row r="127" s="275" customFormat="1" ht="14" x14ac:dyDescent="0.15"/>
    <row r="128" s="275" customFormat="1" ht="14" x14ac:dyDescent="0.15"/>
    <row r="129" s="275" customFormat="1" ht="14" x14ac:dyDescent="0.15"/>
    <row r="130" s="275" customFormat="1" ht="14" x14ac:dyDescent="0.15"/>
    <row r="131" s="275" customFormat="1" ht="14" x14ac:dyDescent="0.15"/>
    <row r="132" s="275" customFormat="1" ht="14" x14ac:dyDescent="0.15"/>
    <row r="133" s="275" customFormat="1" ht="14" x14ac:dyDescent="0.15"/>
    <row r="134" s="275" customFormat="1" ht="14" x14ac:dyDescent="0.15"/>
    <row r="135" s="275" customFormat="1" ht="14" x14ac:dyDescent="0.15"/>
    <row r="136" s="275" customFormat="1" ht="14" x14ac:dyDescent="0.15"/>
    <row r="137" s="275" customFormat="1" ht="14" x14ac:dyDescent="0.15"/>
    <row r="138" s="275" customFormat="1" ht="14" x14ac:dyDescent="0.15"/>
    <row r="139" s="275" customFormat="1" ht="14" x14ac:dyDescent="0.15"/>
    <row r="140" s="275" customFormat="1" ht="14" x14ac:dyDescent="0.15"/>
    <row r="141" s="275" customFormat="1" ht="14" x14ac:dyDescent="0.15"/>
    <row r="142" s="275" customFormat="1" ht="14" x14ac:dyDescent="0.15"/>
    <row r="143" s="275" customFormat="1" ht="14" x14ac:dyDescent="0.15"/>
    <row r="144" s="275" customFormat="1" ht="14" x14ac:dyDescent="0.15"/>
    <row r="145" s="275" customFormat="1" ht="14" x14ac:dyDescent="0.15"/>
    <row r="146" s="275" customFormat="1" ht="14" x14ac:dyDescent="0.15"/>
    <row r="147" s="275" customFormat="1" ht="14" x14ac:dyDescent="0.15"/>
    <row r="148" s="275" customFormat="1" ht="14" x14ac:dyDescent="0.15"/>
    <row r="149" s="275" customFormat="1" ht="14" x14ac:dyDescent="0.15"/>
    <row r="150" s="275" customFormat="1" ht="14" x14ac:dyDescent="0.15"/>
    <row r="151" s="275" customFormat="1" ht="14" x14ac:dyDescent="0.15"/>
    <row r="152" s="275" customFormat="1" ht="14" x14ac:dyDescent="0.15"/>
    <row r="153" s="275" customFormat="1" ht="14" x14ac:dyDescent="0.15"/>
  </sheetData>
  <sheetProtection sheet="1" objects="1" scenarios="1"/>
  <mergeCells count="35"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7"/>
  <sheetViews>
    <sheetView view="pageBreakPreview" workbookViewId="0">
      <selection activeCell="A37" sqref="A37:G37"/>
    </sheetView>
  </sheetViews>
  <sheetFormatPr baseColWidth="10" defaultColWidth="8.83203125" defaultRowHeight="13" x14ac:dyDescent="0.15"/>
  <cols>
    <col min="1" max="1" width="13.33203125" style="245" customWidth="1"/>
    <col min="2" max="2" width="17.33203125" style="245" customWidth="1"/>
    <col min="3" max="3" width="16.33203125" style="245" customWidth="1"/>
    <col min="4" max="4" width="16.1640625" style="246" customWidth="1"/>
    <col min="5" max="5" width="17.33203125" style="245" customWidth="1"/>
    <col min="6" max="6" width="16.33203125" style="247" customWidth="1"/>
    <col min="7" max="7" width="0.33203125" style="247" customWidth="1"/>
    <col min="8" max="8" width="10.6640625" style="245" customWidth="1"/>
    <col min="9" max="16384" width="8.83203125" style="245"/>
  </cols>
  <sheetData>
    <row r="1" spans="1:9" s="2" customFormat="1" ht="22" customHeight="1" x14ac:dyDescent="0.2">
      <c r="A1" s="1187" t="s">
        <v>19</v>
      </c>
      <c r="B1" s="1188"/>
      <c r="C1" s="1188"/>
      <c r="D1" s="1188"/>
      <c r="E1" s="1188"/>
      <c r="F1" s="1188"/>
      <c r="G1" s="1189"/>
      <c r="H1" s="477"/>
      <c r="I1" s="42"/>
    </row>
    <row r="2" spans="1:9" s="2" customFormat="1" ht="22" customHeight="1" x14ac:dyDescent="0.2">
      <c r="A2" s="1198" t="s">
        <v>370</v>
      </c>
      <c r="B2" s="1199"/>
      <c r="C2" s="1199"/>
      <c r="D2" s="1199"/>
      <c r="E2" s="1199"/>
      <c r="F2" s="1199"/>
      <c r="G2" s="656"/>
      <c r="H2" s="477"/>
      <c r="I2" s="42"/>
    </row>
    <row r="3" spans="1:9" s="692" customFormat="1" ht="25" customHeight="1" x14ac:dyDescent="0.2">
      <c r="A3" s="1198" t="str">
        <f>'Forside 1'!A6:I6</f>
        <v>Gældende fra 1. oktober 2018</v>
      </c>
      <c r="B3" s="1199"/>
      <c r="C3" s="1199"/>
      <c r="D3" s="1199"/>
      <c r="E3" s="1199"/>
      <c r="F3" s="1199"/>
      <c r="G3" s="1200"/>
      <c r="H3" s="691"/>
    </row>
    <row r="4" spans="1:9" s="2" customFormat="1" ht="35" customHeight="1" thickBot="1" x14ac:dyDescent="0.25">
      <c r="A4" s="1797" t="s">
        <v>371</v>
      </c>
      <c r="B4" s="1798"/>
      <c r="C4" s="1798"/>
      <c r="D4" s="1798"/>
      <c r="E4" s="1798"/>
      <c r="F4" s="1798"/>
      <c r="G4" s="1799"/>
      <c r="H4" s="477"/>
    </row>
    <row r="5" spans="1:9" ht="21" thickBot="1" x14ac:dyDescent="0.25">
      <c r="A5" s="1739"/>
      <c r="B5" s="1739"/>
      <c r="C5" s="1739"/>
      <c r="D5" s="1739"/>
      <c r="E5" s="1739"/>
      <c r="F5" s="1739"/>
      <c r="G5" s="1739"/>
    </row>
    <row r="6" spans="1:9" ht="19" customHeight="1" x14ac:dyDescent="0.15">
      <c r="A6" s="1097" t="s">
        <v>373</v>
      </c>
      <c r="B6" s="1098"/>
      <c r="C6" s="1098"/>
      <c r="D6" s="1098"/>
      <c r="E6" s="1098"/>
      <c r="F6" s="1099"/>
      <c r="G6" s="541"/>
    </row>
    <row r="7" spans="1:9" ht="19" customHeight="1" thickBot="1" x14ac:dyDescent="0.2">
      <c r="A7" s="1803" t="s">
        <v>372</v>
      </c>
      <c r="B7" s="1804"/>
      <c r="C7" s="1804"/>
      <c r="D7" s="1804"/>
      <c r="E7" s="1804"/>
      <c r="F7" s="1805"/>
      <c r="G7" s="541"/>
    </row>
    <row r="8" spans="1:9" ht="34" customHeight="1" x14ac:dyDescent="0.2">
      <c r="A8" s="1800" t="s">
        <v>147</v>
      </c>
      <c r="B8" s="1800" t="s">
        <v>95</v>
      </c>
      <c r="C8" s="728" t="s">
        <v>137</v>
      </c>
      <c r="D8" s="789" t="s">
        <v>390</v>
      </c>
      <c r="E8" s="789" t="s">
        <v>301</v>
      </c>
      <c r="F8" s="796" t="s">
        <v>148</v>
      </c>
    </row>
    <row r="9" spans="1:9" ht="16" customHeight="1" thickBot="1" x14ac:dyDescent="0.25">
      <c r="A9" s="1801"/>
      <c r="B9" s="1801"/>
      <c r="C9" s="729">
        <v>40999</v>
      </c>
      <c r="D9" s="799" t="str">
        <f>'Løntabel gældende fra'!D1</f>
        <v>01/10/2018</v>
      </c>
      <c r="E9" s="799" t="str">
        <f>'Løntabel gældende fra'!D1</f>
        <v>01/10/2018</v>
      </c>
      <c r="F9" s="799" t="str">
        <f>'Løntabel gældende fra'!D1</f>
        <v>01/10/2018</v>
      </c>
    </row>
    <row r="10" spans="1:9" ht="15" customHeight="1" x14ac:dyDescent="0.2">
      <c r="A10" s="693">
        <v>1</v>
      </c>
      <c r="B10" s="693" t="s">
        <v>150</v>
      </c>
      <c r="C10" s="694">
        <v>273480</v>
      </c>
      <c r="D10" s="695">
        <f>C10+(C10*'Løntabel gældende fra'!$D$7%)</f>
        <v>293983.34256000002</v>
      </c>
      <c r="E10" s="696">
        <f>D10/12</f>
        <v>24498.61188</v>
      </c>
      <c r="F10" s="697">
        <f>(E10*12)/1924*1</f>
        <v>152.7979950935551</v>
      </c>
    </row>
    <row r="11" spans="1:9" ht="15" customHeight="1" x14ac:dyDescent="0.2">
      <c r="A11" s="706">
        <v>2</v>
      </c>
      <c r="B11" s="706" t="s">
        <v>158</v>
      </c>
      <c r="C11" s="707">
        <v>305210</v>
      </c>
      <c r="D11" s="695">
        <f>C11+(C11*'Løntabel gældende fra'!$D$7%)</f>
        <v>328092.20412000001</v>
      </c>
      <c r="E11" s="708">
        <f>D11/12</f>
        <v>27341.01701</v>
      </c>
      <c r="F11" s="697">
        <f>(E11*12)/1924*1</f>
        <v>170.52609361746363</v>
      </c>
    </row>
    <row r="12" spans="1:9" ht="15" customHeight="1" x14ac:dyDescent="0.2">
      <c r="A12" s="709">
        <v>3</v>
      </c>
      <c r="B12" s="709" t="s">
        <v>151</v>
      </c>
      <c r="C12" s="710">
        <v>336820</v>
      </c>
      <c r="D12" s="695">
        <f>C12+(C12*'Løntabel gældende fra'!$D$7%)</f>
        <v>362072.06903999997</v>
      </c>
      <c r="E12" s="708">
        <f>D12/12</f>
        <v>30172.672419999999</v>
      </c>
      <c r="F12" s="697">
        <f>(E12*12)/1924*1</f>
        <v>188.18714607068605</v>
      </c>
    </row>
    <row r="13" spans="1:9" ht="15" customHeight="1" thickBot="1" x14ac:dyDescent="0.25">
      <c r="A13" s="711">
        <v>4</v>
      </c>
      <c r="B13" s="711" t="s">
        <v>159</v>
      </c>
      <c r="C13" s="712">
        <v>354670</v>
      </c>
      <c r="D13" s="703">
        <f>C13+(C13*'Løntabel gældende fra'!$D$7%)</f>
        <v>381260.31923999998</v>
      </c>
      <c r="E13" s="704">
        <f>D13/12</f>
        <v>31771.69327</v>
      </c>
      <c r="F13" s="705">
        <f>(E13*12)/1924*1</f>
        <v>198.16024908523909</v>
      </c>
    </row>
    <row r="14" spans="1:9" ht="14" thickBot="1" x14ac:dyDescent="0.2"/>
    <row r="15" spans="1:9" ht="30" customHeight="1" thickBot="1" x14ac:dyDescent="0.2">
      <c r="A15" s="1215" t="s">
        <v>161</v>
      </c>
      <c r="B15" s="1216"/>
      <c r="C15" s="1216"/>
      <c r="D15" s="1216"/>
      <c r="E15" s="1217"/>
      <c r="F15" s="237"/>
    </row>
    <row r="16" spans="1:9" ht="32" customHeight="1" x14ac:dyDescent="0.2">
      <c r="A16" s="1800" t="s">
        <v>147</v>
      </c>
      <c r="B16" s="728" t="s">
        <v>137</v>
      </c>
      <c r="C16" s="789" t="s">
        <v>390</v>
      </c>
      <c r="D16" s="789" t="s">
        <v>301</v>
      </c>
      <c r="E16" s="796" t="s">
        <v>148</v>
      </c>
      <c r="F16" s="43"/>
    </row>
    <row r="17" spans="1:8" ht="16" customHeight="1" thickBot="1" x14ac:dyDescent="0.25">
      <c r="A17" s="1801"/>
      <c r="B17" s="729">
        <v>40999</v>
      </c>
      <c r="C17" s="799" t="str">
        <f>'Løntabel gældende fra'!D1</f>
        <v>01/10/2018</v>
      </c>
      <c r="D17" s="799" t="str">
        <f>'Løntabel gældende fra'!D1</f>
        <v>01/10/2018</v>
      </c>
      <c r="E17" s="799" t="str">
        <f>'Løntabel gældende fra'!D1</f>
        <v>01/10/2018</v>
      </c>
      <c r="F17" s="43"/>
    </row>
    <row r="18" spans="1:8" s="700" customFormat="1" ht="15" customHeight="1" x14ac:dyDescent="0.2">
      <c r="A18" s="693" t="s">
        <v>152</v>
      </c>
      <c r="B18" s="694">
        <f>12*13140</f>
        <v>157680</v>
      </c>
      <c r="C18" s="695">
        <f>B18+(B18*'Løntabel gældende fra'!$D$7%)</f>
        <v>169501.58496000001</v>
      </c>
      <c r="D18" s="696">
        <f>C18/12</f>
        <v>14125.132080000001</v>
      </c>
      <c r="E18" s="697">
        <f>(D18*12)/1924*1</f>
        <v>88.098536881496884</v>
      </c>
      <c r="F18" s="698"/>
      <c r="G18" s="699"/>
    </row>
    <row r="19" spans="1:8" s="700" customFormat="1" ht="15" customHeight="1" thickBot="1" x14ac:dyDescent="0.25">
      <c r="A19" s="701" t="s">
        <v>153</v>
      </c>
      <c r="B19" s="702">
        <f>12*13800</f>
        <v>165600</v>
      </c>
      <c r="C19" s="703">
        <f>B19+(B19*'Løntabel gældende fra'!$D$7%)</f>
        <v>178015.36319999999</v>
      </c>
      <c r="D19" s="704">
        <f>C19/12</f>
        <v>14834.613599999999</v>
      </c>
      <c r="E19" s="705">
        <f>(D19*12)/1924*1</f>
        <v>92.523577546777545</v>
      </c>
      <c r="F19" s="698"/>
      <c r="G19" s="699"/>
    </row>
    <row r="20" spans="1:8" ht="14" thickBot="1" x14ac:dyDescent="0.2"/>
    <row r="21" spans="1:8" ht="30" customHeight="1" thickBot="1" x14ac:dyDescent="0.2">
      <c r="A21" s="1215" t="s">
        <v>162</v>
      </c>
      <c r="B21" s="1216"/>
      <c r="C21" s="1216"/>
      <c r="D21" s="1216"/>
      <c r="E21" s="1217"/>
    </row>
    <row r="22" spans="1:8" ht="30" customHeight="1" x14ac:dyDescent="0.2">
      <c r="A22" s="1800" t="s">
        <v>147</v>
      </c>
      <c r="B22" s="728" t="s">
        <v>137</v>
      </c>
      <c r="C22" s="789" t="s">
        <v>390</v>
      </c>
      <c r="D22" s="789" t="s">
        <v>301</v>
      </c>
      <c r="E22" s="796" t="s">
        <v>148</v>
      </c>
    </row>
    <row r="23" spans="1:8" ht="16" customHeight="1" thickBot="1" x14ac:dyDescent="0.25">
      <c r="A23" s="1801"/>
      <c r="B23" s="729">
        <v>40999</v>
      </c>
      <c r="C23" s="799" t="str">
        <f>'Løntabel gældende fra'!D1</f>
        <v>01/10/2018</v>
      </c>
      <c r="D23" s="799" t="str">
        <f>'Løntabel gældende fra'!D1</f>
        <v>01/10/2018</v>
      </c>
      <c r="E23" s="799" t="str">
        <f>'Løntabel gældende fra'!D1</f>
        <v>01/10/2018</v>
      </c>
    </row>
    <row r="24" spans="1:8" s="474" customFormat="1" ht="20" customHeight="1" thickBot="1" x14ac:dyDescent="0.25">
      <c r="A24" s="731" t="s">
        <v>152</v>
      </c>
      <c r="B24" s="732">
        <f>12*18700</f>
        <v>224400</v>
      </c>
      <c r="C24" s="733">
        <f>B24+(B24*'Løntabel gældende fra'!$D$7%)</f>
        <v>241223.71679999999</v>
      </c>
      <c r="D24" s="734">
        <f>C24/12</f>
        <v>20101.9764</v>
      </c>
      <c r="E24" s="705">
        <f>(D24*12)/1924*1</f>
        <v>125.37615218295218</v>
      </c>
      <c r="F24" s="246"/>
      <c r="G24" s="246"/>
    </row>
    <row r="25" spans="1:8" ht="19" thickBot="1" x14ac:dyDescent="0.2">
      <c r="A25" s="43"/>
      <c r="B25" s="300"/>
      <c r="C25" s="300"/>
      <c r="D25" s="300"/>
      <c r="E25" s="251"/>
      <c r="F25" s="475"/>
      <c r="G25" s="475"/>
      <c r="H25" s="237"/>
    </row>
    <row r="26" spans="1:8" ht="31" customHeight="1" thickBot="1" x14ac:dyDescent="0.2">
      <c r="A26" s="1215" t="s">
        <v>164</v>
      </c>
      <c r="B26" s="1216"/>
      <c r="C26" s="1216"/>
      <c r="D26" s="1216"/>
      <c r="E26" s="1217"/>
      <c r="F26" s="237"/>
      <c r="G26" s="237"/>
      <c r="H26" s="489"/>
    </row>
    <row r="27" spans="1:8" ht="45" customHeight="1" thickBot="1" x14ac:dyDescent="0.2">
      <c r="A27" s="1621" t="s">
        <v>147</v>
      </c>
      <c r="B27" s="1800" t="s">
        <v>393</v>
      </c>
      <c r="C27" s="722" t="s">
        <v>247</v>
      </c>
      <c r="D27" s="723">
        <v>0.17299999999999999</v>
      </c>
      <c r="E27" s="724"/>
      <c r="F27" s="485"/>
      <c r="G27" s="488"/>
      <c r="H27" s="490"/>
    </row>
    <row r="28" spans="1:8" ht="16" customHeight="1" thickBot="1" x14ac:dyDescent="0.25">
      <c r="A28" s="1802"/>
      <c r="B28" s="1801"/>
      <c r="C28" s="725" t="s">
        <v>21</v>
      </c>
      <c r="D28" s="726" t="s">
        <v>248</v>
      </c>
      <c r="E28" s="727" t="s">
        <v>22</v>
      </c>
      <c r="F28" s="1734"/>
      <c r="G28" s="1734"/>
      <c r="H28" s="292"/>
    </row>
    <row r="29" spans="1:8" s="700" customFormat="1" ht="15" customHeight="1" x14ac:dyDescent="0.2">
      <c r="A29" s="713">
        <v>1</v>
      </c>
      <c r="B29" s="714">
        <f>E10</f>
        <v>24498.61188</v>
      </c>
      <c r="C29" s="714">
        <f>E29*1/3</f>
        <v>1412.7532850799998</v>
      </c>
      <c r="D29" s="715">
        <f>E29*2/3</f>
        <v>2825.5065701599997</v>
      </c>
      <c r="E29" s="714">
        <f>B29*$D$27</f>
        <v>4238.2598552399995</v>
      </c>
      <c r="F29" s="716"/>
      <c r="G29" s="717"/>
      <c r="H29" s="718"/>
    </row>
    <row r="30" spans="1:8" s="700" customFormat="1" ht="15" customHeight="1" x14ac:dyDescent="0.2">
      <c r="A30" s="719">
        <v>2</v>
      </c>
      <c r="B30" s="720">
        <f>E11</f>
        <v>27341.01701</v>
      </c>
      <c r="C30" s="720">
        <f>E30*1/3</f>
        <v>1576.6653142433333</v>
      </c>
      <c r="D30" s="707">
        <f>E30*2/3</f>
        <v>3153.3306284866667</v>
      </c>
      <c r="E30" s="720">
        <f>B30*$D$27</f>
        <v>4729.99594273</v>
      </c>
      <c r="F30" s="716"/>
      <c r="G30" s="717"/>
      <c r="H30" s="718"/>
    </row>
    <row r="31" spans="1:8" s="700" customFormat="1" ht="15" customHeight="1" x14ac:dyDescent="0.2">
      <c r="A31" s="719">
        <v>3</v>
      </c>
      <c r="B31" s="720">
        <f>E12</f>
        <v>30172.672419999999</v>
      </c>
      <c r="C31" s="720">
        <f>E31*1/3</f>
        <v>1739.9574428866665</v>
      </c>
      <c r="D31" s="707">
        <f>E31*2/3</f>
        <v>3479.914885773333</v>
      </c>
      <c r="E31" s="720">
        <f>B31*$D$27</f>
        <v>5219.8723286599998</v>
      </c>
      <c r="F31" s="716"/>
      <c r="G31" s="717"/>
      <c r="H31" s="718"/>
    </row>
    <row r="32" spans="1:8" s="700" customFormat="1" ht="15" customHeight="1" thickBot="1" x14ac:dyDescent="0.25">
      <c r="A32" s="721">
        <v>4</v>
      </c>
      <c r="B32" s="703">
        <f>E13</f>
        <v>31771.69327</v>
      </c>
      <c r="C32" s="703">
        <f>E32*1/3</f>
        <v>1832.1676452366664</v>
      </c>
      <c r="D32" s="702">
        <f>E32*2/3</f>
        <v>3664.3352904733329</v>
      </c>
      <c r="E32" s="703">
        <f>B32*$D$27</f>
        <v>5496.5029357099993</v>
      </c>
      <c r="F32" s="716"/>
      <c r="G32" s="717"/>
    </row>
    <row r="33" spans="1:8" ht="20" customHeight="1" thickBot="1" x14ac:dyDescent="0.2">
      <c r="A33" s="43"/>
      <c r="B33" s="256"/>
      <c r="C33" s="256"/>
      <c r="D33" s="256"/>
      <c r="E33" s="251"/>
      <c r="F33" s="246"/>
      <c r="G33" s="246"/>
    </row>
    <row r="34" spans="1:8" ht="29" customHeight="1" thickBot="1" x14ac:dyDescent="0.2">
      <c r="A34" s="1735" t="s">
        <v>324</v>
      </c>
      <c r="B34" s="1736"/>
      <c r="C34" s="1736"/>
      <c r="D34" s="1736"/>
      <c r="E34" s="1737"/>
      <c r="F34" s="126" t="s">
        <v>93</v>
      </c>
      <c r="G34" s="246"/>
    </row>
    <row r="35" spans="1:8" ht="32" customHeight="1" thickBot="1" x14ac:dyDescent="0.2">
      <c r="A35" s="1265" t="s">
        <v>163</v>
      </c>
      <c r="B35" s="1266"/>
      <c r="C35" s="1266"/>
      <c r="D35" s="1266"/>
      <c r="E35" s="1738"/>
      <c r="F35" s="530">
        <v>176.5</v>
      </c>
      <c r="G35" s="246"/>
    </row>
    <row r="36" spans="1:8" s="275" customFormat="1" ht="28" customHeight="1" x14ac:dyDescent="0.15">
      <c r="A36" s="632"/>
      <c r="B36" s="632"/>
      <c r="C36" s="632"/>
      <c r="D36" s="632"/>
      <c r="E36" s="632"/>
      <c r="F36" s="480"/>
      <c r="G36" s="246"/>
    </row>
    <row r="37" spans="1:8" s="275" customFormat="1" ht="30" customHeight="1" x14ac:dyDescent="0.15">
      <c r="A37" s="1731" t="s">
        <v>154</v>
      </c>
      <c r="B37" s="1731"/>
      <c r="C37" s="1731"/>
      <c r="D37" s="1731"/>
      <c r="E37" s="1731"/>
      <c r="F37" s="1731"/>
      <c r="G37" s="1731"/>
      <c r="H37" s="493"/>
    </row>
    <row r="38" spans="1:8" s="275" customFormat="1" ht="32.25" customHeight="1" x14ac:dyDescent="0.15">
      <c r="A38" s="1732" t="s">
        <v>155</v>
      </c>
      <c r="B38" s="1732"/>
      <c r="C38" s="1732"/>
      <c r="D38" s="1732"/>
      <c r="E38" s="1732"/>
      <c r="F38" s="1732"/>
      <c r="G38" s="1732"/>
    </row>
    <row r="39" spans="1:8" s="258" customFormat="1" ht="14" x14ac:dyDescent="0.15">
      <c r="A39" s="1733" t="s">
        <v>524</v>
      </c>
      <c r="B39" s="1733"/>
      <c r="C39" s="1733"/>
      <c r="D39" s="1733"/>
      <c r="E39" s="1733"/>
      <c r="F39" s="1733"/>
      <c r="G39" s="1733"/>
    </row>
    <row r="40" spans="1:8" s="258" customFormat="1" x14ac:dyDescent="0.15">
      <c r="A40" s="1995" t="s">
        <v>525</v>
      </c>
      <c r="B40" s="1995"/>
      <c r="C40" s="1995"/>
      <c r="D40" s="1995"/>
      <c r="E40" s="1995"/>
      <c r="F40" s="1995"/>
      <c r="G40" s="260"/>
    </row>
    <row r="41" spans="1:8" s="258" customFormat="1" x14ac:dyDescent="0.15">
      <c r="A41" s="1995"/>
      <c r="B41" s="1995"/>
      <c r="C41" s="1995"/>
      <c r="D41" s="1995"/>
      <c r="E41" s="1995"/>
      <c r="F41" s="1995"/>
      <c r="G41" s="260"/>
    </row>
    <row r="42" spans="1:8" s="258" customFormat="1" x14ac:dyDescent="0.15">
      <c r="A42" s="261"/>
      <c r="B42" s="261"/>
      <c r="C42" s="262"/>
      <c r="D42" s="259"/>
      <c r="F42" s="260"/>
      <c r="G42" s="260"/>
    </row>
    <row r="43" spans="1:8" s="258" customFormat="1" x14ac:dyDescent="0.15">
      <c r="C43" s="263"/>
      <c r="D43" s="259"/>
      <c r="F43" s="260"/>
      <c r="G43" s="260"/>
    </row>
    <row r="44" spans="1:8" s="258" customFormat="1" x14ac:dyDescent="0.15">
      <c r="C44" s="263"/>
      <c r="D44" s="259"/>
      <c r="F44" s="260"/>
      <c r="G44" s="260"/>
    </row>
    <row r="45" spans="1:8" s="258" customFormat="1" x14ac:dyDescent="0.15">
      <c r="C45" s="263"/>
      <c r="D45" s="259"/>
      <c r="F45" s="260"/>
      <c r="G45" s="260"/>
    </row>
    <row r="46" spans="1:8" s="258" customFormat="1" x14ac:dyDescent="0.15">
      <c r="C46" s="264"/>
      <c r="D46" s="259"/>
      <c r="F46" s="260"/>
      <c r="G46" s="260"/>
    </row>
    <row r="47" spans="1:8" x14ac:dyDescent="0.15">
      <c r="A47" s="258"/>
      <c r="B47" s="258"/>
      <c r="C47" s="258"/>
      <c r="D47" s="259"/>
      <c r="E47" s="258"/>
      <c r="F47" s="260"/>
      <c r="G47" s="260"/>
    </row>
  </sheetData>
  <sheetProtection sheet="1" objects="1" scenarios="1"/>
  <mergeCells count="23">
    <mergeCell ref="A40:F41"/>
    <mergeCell ref="A37:G37"/>
    <mergeCell ref="A38:G38"/>
    <mergeCell ref="A39:G39"/>
    <mergeCell ref="F28:G28"/>
    <mergeCell ref="B8:B9"/>
    <mergeCell ref="A34:E34"/>
    <mergeCell ref="A22:A23"/>
    <mergeCell ref="A1:G1"/>
    <mergeCell ref="A4:G4"/>
    <mergeCell ref="A35:E35"/>
    <mergeCell ref="B27:B28"/>
    <mergeCell ref="A26:E26"/>
    <mergeCell ref="A15:E15"/>
    <mergeCell ref="A21:E21"/>
    <mergeCell ref="A8:A9"/>
    <mergeCell ref="A16:A17"/>
    <mergeCell ref="A5:G5"/>
    <mergeCell ref="A27:A28"/>
    <mergeCell ref="A3:G3"/>
    <mergeCell ref="A2:F2"/>
    <mergeCell ref="A7:F7"/>
    <mergeCell ref="A6:F6"/>
  </mergeCells>
  <phoneticPr fontId="6" type="noConversion"/>
  <pageMargins left="0.7" right="0.7" top="0.75" bottom="0.75" header="0.3" footer="0.3"/>
  <pageSetup paperSize="9" scale="84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7"/>
  <sheetViews>
    <sheetView zoomScale="125" zoomScaleNormal="125" zoomScalePageLayoutView="125" workbookViewId="0">
      <selection activeCell="D8" sqref="D8"/>
    </sheetView>
  </sheetViews>
  <sheetFormatPr baseColWidth="10" defaultColWidth="8.83203125" defaultRowHeight="13" x14ac:dyDescent="0.15"/>
  <cols>
    <col min="1" max="1" width="22.33203125" style="357" customWidth="1"/>
    <col min="2" max="2" width="10.6640625" style="357" customWidth="1"/>
    <col min="3" max="3" width="11" style="357" customWidth="1"/>
    <col min="4" max="4" width="10.33203125" style="357" customWidth="1"/>
    <col min="5" max="5" width="11.33203125" style="357" customWidth="1"/>
    <col min="6" max="6" width="10.6640625" style="357" customWidth="1"/>
    <col min="7" max="7" width="10.33203125" style="357" customWidth="1"/>
    <col min="8" max="8" width="11.1640625" style="357" customWidth="1"/>
    <col min="9" max="9" width="11" style="357" customWidth="1"/>
    <col min="10" max="10" width="10.83203125" style="357" customWidth="1"/>
    <col min="11" max="16384" width="8.83203125" style="357"/>
  </cols>
  <sheetData>
    <row r="1" spans="1:13" ht="20.25" customHeight="1" x14ac:dyDescent="0.2">
      <c r="A1" s="1808" t="s">
        <v>19</v>
      </c>
      <c r="B1" s="1809"/>
      <c r="C1" s="1809"/>
      <c r="D1" s="1809"/>
      <c r="E1" s="1809"/>
      <c r="F1" s="1809"/>
      <c r="G1" s="1809"/>
      <c r="H1" s="1809"/>
      <c r="I1" s="1809"/>
      <c r="J1" s="1810"/>
    </row>
    <row r="2" spans="1:13" ht="20" customHeight="1" x14ac:dyDescent="0.2">
      <c r="A2" s="1811" t="s">
        <v>236</v>
      </c>
      <c r="B2" s="1812"/>
      <c r="C2" s="1812"/>
      <c r="D2" s="1812"/>
      <c r="E2" s="1812"/>
      <c r="F2" s="1812"/>
      <c r="G2" s="1812"/>
      <c r="H2" s="1812"/>
      <c r="I2" s="1812"/>
      <c r="J2" s="1813"/>
    </row>
    <row r="3" spans="1:13" ht="19.5" customHeight="1" x14ac:dyDescent="0.2">
      <c r="A3" s="1814" t="s">
        <v>514</v>
      </c>
      <c r="B3" s="1815"/>
      <c r="C3" s="1815"/>
      <c r="D3" s="1815"/>
      <c r="E3" s="1815"/>
      <c r="F3" s="1815"/>
      <c r="G3" s="1815"/>
      <c r="H3" s="1815"/>
      <c r="I3" s="1815"/>
      <c r="J3" s="1816"/>
    </row>
    <row r="4" spans="1:13" ht="23" customHeight="1" thickBot="1" x14ac:dyDescent="0.2">
      <c r="A4" s="1794" t="s">
        <v>251</v>
      </c>
      <c r="B4" s="1795"/>
      <c r="C4" s="1795"/>
      <c r="D4" s="1795"/>
      <c r="E4" s="1795"/>
      <c r="F4" s="1795"/>
      <c r="G4" s="1795"/>
      <c r="H4" s="1795"/>
      <c r="I4" s="1795"/>
      <c r="J4" s="1796"/>
    </row>
    <row r="5" spans="1:13" ht="15" thickBot="1" x14ac:dyDescent="0.2">
      <c r="A5" s="265"/>
      <c r="B5" s="265"/>
      <c r="C5" s="265"/>
      <c r="D5" s="265"/>
      <c r="E5" s="344"/>
      <c r="F5" s="344"/>
      <c r="G5" s="344"/>
      <c r="H5" s="344"/>
    </row>
    <row r="6" spans="1:13" s="275" customFormat="1" ht="19" thickBot="1" x14ac:dyDescent="0.25">
      <c r="A6" s="1705" t="s">
        <v>15</v>
      </c>
      <c r="B6" s="1706"/>
      <c r="C6" s="1706"/>
      <c r="D6" s="1707"/>
      <c r="E6" s="1817"/>
      <c r="F6" s="1817"/>
      <c r="G6" s="1817"/>
      <c r="H6" s="1817"/>
    </row>
    <row r="7" spans="1:13" s="275" customFormat="1" ht="15" thickBot="1" x14ac:dyDescent="0.2">
      <c r="A7" s="735" t="s">
        <v>233</v>
      </c>
      <c r="B7" s="736">
        <v>43191</v>
      </c>
      <c r="C7" s="736">
        <v>43374</v>
      </c>
      <c r="D7" s="736">
        <v>43556</v>
      </c>
      <c r="E7" s="284"/>
      <c r="F7" s="284"/>
      <c r="G7" s="284"/>
      <c r="H7" s="358"/>
    </row>
    <row r="8" spans="1:13" s="275" customFormat="1" ht="14" customHeight="1" x14ac:dyDescent="0.15">
      <c r="A8" s="374" t="s">
        <v>211</v>
      </c>
      <c r="B8" s="577">
        <v>25032.49</v>
      </c>
      <c r="C8" s="577">
        <v>25290.32</v>
      </c>
      <c r="D8" s="577"/>
      <c r="E8" s="345"/>
      <c r="F8" s="346"/>
      <c r="G8" s="347"/>
      <c r="H8" s="347"/>
      <c r="I8" s="278"/>
      <c r="J8" s="276"/>
    </row>
    <row r="9" spans="1:13" s="275" customFormat="1" ht="13.5" customHeight="1" x14ac:dyDescent="0.15">
      <c r="A9" s="374" t="s">
        <v>234</v>
      </c>
      <c r="B9" s="577">
        <v>22138.06</v>
      </c>
      <c r="C9" s="577">
        <v>22366.080000000002</v>
      </c>
      <c r="D9" s="577"/>
      <c r="E9" s="345"/>
      <c r="F9" s="346"/>
      <c r="G9" s="347"/>
      <c r="H9" s="347"/>
      <c r="I9" s="278"/>
      <c r="J9" s="276"/>
    </row>
    <row r="10" spans="1:13" s="275" customFormat="1" ht="15" customHeight="1" thickBot="1" x14ac:dyDescent="0.2">
      <c r="A10" s="375" t="s">
        <v>212</v>
      </c>
      <c r="B10" s="578">
        <v>21587.23</v>
      </c>
      <c r="C10" s="578">
        <v>21809.58</v>
      </c>
      <c r="D10" s="578"/>
      <c r="E10" s="345"/>
      <c r="F10" s="346"/>
      <c r="G10" s="347"/>
      <c r="H10" s="347"/>
      <c r="I10" s="278"/>
      <c r="J10" s="276"/>
      <c r="M10" s="277"/>
    </row>
    <row r="11" spans="1:13" s="275" customFormat="1" ht="15" thickBot="1" x14ac:dyDescent="0.2">
      <c r="B11" s="276"/>
      <c r="C11" s="276"/>
      <c r="D11" s="276"/>
      <c r="E11" s="302"/>
      <c r="F11" s="302"/>
      <c r="G11" s="302"/>
      <c r="H11" s="302"/>
    </row>
    <row r="12" spans="1:13" s="275" customFormat="1" ht="19" thickBot="1" x14ac:dyDescent="0.25">
      <c r="A12" s="1705" t="s">
        <v>182</v>
      </c>
      <c r="B12" s="1706"/>
      <c r="C12" s="1706"/>
      <c r="D12" s="1707"/>
    </row>
    <row r="13" spans="1:13" s="275" customFormat="1" ht="15" customHeight="1" thickBot="1" x14ac:dyDescent="0.2">
      <c r="A13" s="1818" t="s">
        <v>183</v>
      </c>
      <c r="B13" s="1819"/>
      <c r="C13" s="1819"/>
      <c r="D13" s="1820"/>
    </row>
    <row r="14" spans="1:13" s="275" customFormat="1" ht="16" customHeight="1" thickBot="1" x14ac:dyDescent="0.2">
      <c r="A14" s="376" t="s">
        <v>204</v>
      </c>
      <c r="B14" s="372">
        <v>43191</v>
      </c>
      <c r="C14" s="371">
        <v>43374</v>
      </c>
      <c r="D14" s="373">
        <v>43556</v>
      </c>
    </row>
    <row r="15" spans="1:13" s="275" customFormat="1" ht="16" customHeight="1" thickBot="1" x14ac:dyDescent="0.2">
      <c r="A15" s="377" t="s">
        <v>205</v>
      </c>
      <c r="B15" s="574">
        <v>120.94</v>
      </c>
      <c r="C15" s="575">
        <v>122.19</v>
      </c>
      <c r="D15" s="576"/>
      <c r="F15" s="276"/>
      <c r="G15" s="276"/>
      <c r="H15" s="276"/>
      <c r="I15" s="276"/>
      <c r="J15" s="276"/>
    </row>
    <row r="16" spans="1:13" s="275" customFormat="1" ht="16" customHeight="1" thickBot="1" x14ac:dyDescent="0.2">
      <c r="A16" s="284"/>
      <c r="B16" s="343"/>
      <c r="C16" s="343"/>
      <c r="D16" s="343"/>
      <c r="F16" s="276"/>
      <c r="G16" s="276"/>
      <c r="H16" s="276"/>
      <c r="I16" s="276"/>
      <c r="J16" s="276"/>
    </row>
    <row r="17" spans="1:10" s="275" customFormat="1" ht="16" customHeight="1" thickBot="1" x14ac:dyDescent="0.25">
      <c r="A17" s="1705" t="s">
        <v>209</v>
      </c>
      <c r="B17" s="1706"/>
      <c r="C17" s="1706"/>
      <c r="D17" s="1706"/>
      <c r="E17" s="1707"/>
      <c r="F17" s="276"/>
      <c r="G17" s="276"/>
      <c r="H17" s="276"/>
      <c r="I17" s="276"/>
      <c r="J17" s="276"/>
    </row>
    <row r="18" spans="1:10" s="275" customFormat="1" ht="16" customHeight="1" thickBot="1" x14ac:dyDescent="0.2">
      <c r="A18" s="378" t="s">
        <v>210</v>
      </c>
      <c r="B18" s="379"/>
      <c r="C18" s="380">
        <v>43191</v>
      </c>
      <c r="D18" s="381">
        <v>43374</v>
      </c>
      <c r="E18" s="382">
        <v>43556</v>
      </c>
      <c r="F18" s="276"/>
      <c r="G18" s="276"/>
      <c r="H18" s="276"/>
      <c r="I18" s="276"/>
      <c r="J18" s="276"/>
    </row>
    <row r="19" spans="1:10" s="275" customFormat="1" ht="16" customHeight="1" x14ac:dyDescent="0.15">
      <c r="A19" s="383" t="s">
        <v>206</v>
      </c>
      <c r="B19" s="384"/>
      <c r="C19" s="566">
        <v>65.040000000000006</v>
      </c>
      <c r="D19" s="567">
        <v>65.709999999999994</v>
      </c>
      <c r="E19" s="568"/>
      <c r="F19" s="276"/>
      <c r="G19" s="276"/>
      <c r="H19" s="276"/>
      <c r="I19" s="276"/>
      <c r="J19" s="276"/>
    </row>
    <row r="20" spans="1:10" s="275" customFormat="1" ht="16" customHeight="1" x14ac:dyDescent="0.15">
      <c r="A20" s="385" t="s">
        <v>207</v>
      </c>
      <c r="B20" s="384"/>
      <c r="C20" s="569">
        <v>73.94</v>
      </c>
      <c r="D20" s="311">
        <v>74.7</v>
      </c>
      <c r="E20" s="570"/>
      <c r="F20" s="276"/>
      <c r="G20" s="276"/>
      <c r="H20" s="276"/>
      <c r="I20" s="276"/>
      <c r="J20" s="276"/>
    </row>
    <row r="21" spans="1:10" s="275" customFormat="1" ht="16" customHeight="1" thickBot="1" x14ac:dyDescent="0.2">
      <c r="A21" s="386" t="s">
        <v>208</v>
      </c>
      <c r="B21" s="387"/>
      <c r="C21" s="571">
        <v>84.61</v>
      </c>
      <c r="D21" s="572">
        <v>85.84</v>
      </c>
      <c r="E21" s="573"/>
      <c r="F21" s="276"/>
      <c r="G21" s="276"/>
      <c r="H21" s="276"/>
      <c r="I21" s="276"/>
      <c r="J21" s="276"/>
    </row>
    <row r="22" spans="1:10" s="275" customFormat="1" ht="15" thickBot="1" x14ac:dyDescent="0.2">
      <c r="A22" s="284"/>
      <c r="B22" s="283"/>
      <c r="C22" s="283"/>
      <c r="D22" s="283"/>
      <c r="E22" s="412"/>
      <c r="F22" s="412"/>
      <c r="G22" s="302"/>
    </row>
    <row r="23" spans="1:10" s="275" customFormat="1" ht="19" thickBot="1" x14ac:dyDescent="0.2">
      <c r="A23" s="1821" t="s">
        <v>184</v>
      </c>
      <c r="B23" s="1822"/>
      <c r="C23" s="1822"/>
      <c r="D23" s="1822"/>
      <c r="E23" s="1822"/>
      <c r="F23" s="1823"/>
      <c r="G23" s="949"/>
    </row>
    <row r="24" spans="1:10" s="275" customFormat="1" ht="15" thickBot="1" x14ac:dyDescent="0.2">
      <c r="A24" s="1824"/>
      <c r="B24" s="1825"/>
      <c r="C24" s="1825"/>
      <c r="D24" s="737">
        <v>43191</v>
      </c>
      <c r="E24" s="738">
        <v>43374</v>
      </c>
      <c r="F24" s="739">
        <v>43556</v>
      </c>
      <c r="G24" s="359"/>
    </row>
    <row r="25" spans="1:10" s="275" customFormat="1" ht="14" customHeight="1" x14ac:dyDescent="0.15">
      <c r="A25" s="1806" t="s">
        <v>215</v>
      </c>
      <c r="B25" s="1807"/>
      <c r="C25" s="413" t="s">
        <v>177</v>
      </c>
      <c r="D25" s="555">
        <v>32.520000000000003</v>
      </c>
      <c r="E25" s="556">
        <v>32.86</v>
      </c>
      <c r="F25" s="557"/>
      <c r="G25" s="360"/>
    </row>
    <row r="26" spans="1:10" s="275" customFormat="1" ht="14" x14ac:dyDescent="0.15">
      <c r="A26" s="1826" t="s">
        <v>216</v>
      </c>
      <c r="B26" s="1827"/>
      <c r="C26" s="950" t="s">
        <v>177</v>
      </c>
      <c r="D26" s="558">
        <v>48.78</v>
      </c>
      <c r="E26" s="559">
        <v>49.28</v>
      </c>
      <c r="F26" s="560"/>
      <c r="G26" s="360"/>
    </row>
    <row r="27" spans="1:10" s="275" customFormat="1" ht="23" customHeight="1" x14ac:dyDescent="0.15">
      <c r="A27" s="1828" t="s">
        <v>213</v>
      </c>
      <c r="B27" s="1829"/>
      <c r="C27" s="950" t="s">
        <v>177</v>
      </c>
      <c r="D27" s="558">
        <v>53.1</v>
      </c>
      <c r="E27" s="559">
        <v>53.65</v>
      </c>
      <c r="F27" s="560"/>
      <c r="G27" s="360"/>
    </row>
    <row r="28" spans="1:10" s="275" customFormat="1" ht="15.75" customHeight="1" thickBot="1" x14ac:dyDescent="0.2">
      <c r="A28" s="1830" t="s">
        <v>214</v>
      </c>
      <c r="B28" s="1831"/>
      <c r="C28" s="388" t="s">
        <v>177</v>
      </c>
      <c r="D28" s="561">
        <v>19.059999999999999</v>
      </c>
      <c r="E28" s="562">
        <v>19.25</v>
      </c>
      <c r="F28" s="563"/>
      <c r="G28" s="360"/>
    </row>
    <row r="29" spans="1:10" s="275" customFormat="1" ht="15" thickBot="1" x14ac:dyDescent="0.2">
      <c r="A29" s="265"/>
      <c r="B29" s="265"/>
      <c r="C29" s="265"/>
      <c r="D29" s="265"/>
      <c r="E29" s="265"/>
      <c r="F29" s="266"/>
      <c r="G29" s="265"/>
    </row>
    <row r="30" spans="1:10" s="275" customFormat="1" ht="19" thickBot="1" x14ac:dyDescent="0.25">
      <c r="A30" s="1708" t="s">
        <v>218</v>
      </c>
      <c r="B30" s="1706"/>
      <c r="C30" s="1706"/>
      <c r="D30" s="1706"/>
      <c r="E30" s="1706"/>
      <c r="F30" s="1706"/>
      <c r="G30" s="1706"/>
      <c r="H30" s="1706"/>
      <c r="I30" s="1706"/>
      <c r="J30" s="1707"/>
    </row>
    <row r="31" spans="1:10" s="275" customFormat="1" ht="15" customHeight="1" thickBot="1" x14ac:dyDescent="0.2">
      <c r="A31" s="1832" t="s">
        <v>219</v>
      </c>
      <c r="B31" s="1834" t="s">
        <v>225</v>
      </c>
      <c r="C31" s="1835"/>
      <c r="D31" s="1836"/>
      <c r="E31" s="1834" t="s">
        <v>227</v>
      </c>
      <c r="F31" s="1835"/>
      <c r="G31" s="1836"/>
      <c r="H31" s="1834" t="s">
        <v>226</v>
      </c>
      <c r="I31" s="1835"/>
      <c r="J31" s="1836"/>
    </row>
    <row r="32" spans="1:10" s="275" customFormat="1" ht="15" thickBot="1" x14ac:dyDescent="0.2">
      <c r="A32" s="1833"/>
      <c r="B32" s="367">
        <v>43191</v>
      </c>
      <c r="C32" s="367">
        <v>43374</v>
      </c>
      <c r="D32" s="367">
        <v>43556</v>
      </c>
      <c r="E32" s="367">
        <v>43191</v>
      </c>
      <c r="F32" s="368">
        <v>43374</v>
      </c>
      <c r="G32" s="367" t="s">
        <v>515</v>
      </c>
      <c r="H32" s="369">
        <v>43191</v>
      </c>
      <c r="I32" s="367">
        <v>43374</v>
      </c>
      <c r="J32" s="370">
        <v>43556</v>
      </c>
    </row>
    <row r="33" spans="1:10" s="275" customFormat="1" ht="15" customHeight="1" x14ac:dyDescent="0.15">
      <c r="A33" s="351" t="s">
        <v>220</v>
      </c>
      <c r="B33" s="544">
        <v>567.6</v>
      </c>
      <c r="C33" s="544">
        <v>573.45000000000005</v>
      </c>
      <c r="D33" s="544"/>
      <c r="E33" s="544">
        <v>851.66</v>
      </c>
      <c r="F33" s="545">
        <v>860.43</v>
      </c>
      <c r="G33" s="546"/>
      <c r="H33" s="547">
        <v>1135.21</v>
      </c>
      <c r="I33" s="546">
        <v>1146.9000000000001</v>
      </c>
      <c r="J33" s="548"/>
    </row>
    <row r="34" spans="1:10" s="275" customFormat="1" ht="15" customHeight="1" x14ac:dyDescent="0.15">
      <c r="A34" s="351" t="s">
        <v>221</v>
      </c>
      <c r="B34" s="549">
        <v>567.6</v>
      </c>
      <c r="C34" s="549">
        <v>573.45000000000005</v>
      </c>
      <c r="D34" s="549"/>
      <c r="E34" s="549">
        <v>851.66</v>
      </c>
      <c r="F34" s="550">
        <v>860.43</v>
      </c>
      <c r="G34" s="321"/>
      <c r="H34" s="319">
        <v>1135.21</v>
      </c>
      <c r="I34" s="321">
        <v>1146.9000000000001</v>
      </c>
      <c r="J34" s="551"/>
    </row>
    <row r="35" spans="1:10" s="275" customFormat="1" ht="15" customHeight="1" x14ac:dyDescent="0.15">
      <c r="A35" s="351" t="s">
        <v>222</v>
      </c>
      <c r="B35" s="549">
        <v>567.6</v>
      </c>
      <c r="C35" s="549">
        <v>573.45000000000005</v>
      </c>
      <c r="D35" s="549"/>
      <c r="E35" s="549">
        <v>1135.21</v>
      </c>
      <c r="F35" s="550">
        <v>1146.9000000000001</v>
      </c>
      <c r="G35" s="321"/>
      <c r="H35" s="319">
        <v>1702.81</v>
      </c>
      <c r="I35" s="321">
        <v>1720.35</v>
      </c>
      <c r="J35" s="551"/>
    </row>
    <row r="36" spans="1:10" s="275" customFormat="1" ht="15" customHeight="1" x14ac:dyDescent="0.15">
      <c r="A36" s="351" t="s">
        <v>223</v>
      </c>
      <c r="B36" s="549">
        <v>567.6</v>
      </c>
      <c r="C36" s="549">
        <v>573.45000000000005</v>
      </c>
      <c r="D36" s="549"/>
      <c r="E36" s="549">
        <v>1135.21</v>
      </c>
      <c r="F36" s="550">
        <v>1146.9000000000001</v>
      </c>
      <c r="G36" s="321"/>
      <c r="H36" s="319">
        <v>1702.81</v>
      </c>
      <c r="I36" s="321">
        <v>1720.35</v>
      </c>
      <c r="J36" s="551"/>
    </row>
    <row r="37" spans="1:10" s="275" customFormat="1" ht="15" customHeight="1" thickBot="1" x14ac:dyDescent="0.2">
      <c r="A37" s="352" t="s">
        <v>224</v>
      </c>
      <c r="B37" s="552">
        <v>1702.81</v>
      </c>
      <c r="C37" s="552">
        <v>1720.35</v>
      </c>
      <c r="D37" s="552"/>
      <c r="E37" s="552">
        <v>2270.41</v>
      </c>
      <c r="F37" s="553">
        <v>2293.8000000000002</v>
      </c>
      <c r="G37" s="327"/>
      <c r="H37" s="325">
        <v>2838.02</v>
      </c>
      <c r="I37" s="327">
        <v>2867.25</v>
      </c>
      <c r="J37" s="554"/>
    </row>
    <row r="38" spans="1:10" s="275" customFormat="1" ht="15" thickBot="1" x14ac:dyDescent="0.2">
      <c r="A38" s="265"/>
      <c r="B38" s="265"/>
      <c r="C38" s="265"/>
      <c r="D38" s="265"/>
      <c r="E38" s="265"/>
      <c r="F38" s="266"/>
      <c r="G38" s="265"/>
    </row>
    <row r="39" spans="1:10" s="275" customFormat="1" ht="19" thickBot="1" x14ac:dyDescent="0.25">
      <c r="A39" s="1705" t="s">
        <v>228</v>
      </c>
      <c r="B39" s="1706"/>
      <c r="C39" s="1706"/>
      <c r="D39" s="1706"/>
      <c r="E39" s="1706"/>
      <c r="F39" s="1706"/>
      <c r="G39" s="1706"/>
      <c r="H39" s="1706"/>
      <c r="I39" s="1706"/>
      <c r="J39" s="1707"/>
    </row>
    <row r="40" spans="1:10" s="275" customFormat="1" ht="15" customHeight="1" thickBot="1" x14ac:dyDescent="0.2">
      <c r="A40" s="1832" t="s">
        <v>219</v>
      </c>
      <c r="B40" s="1834" t="s">
        <v>225</v>
      </c>
      <c r="C40" s="1835"/>
      <c r="D40" s="1836"/>
      <c r="E40" s="1835" t="s">
        <v>227</v>
      </c>
      <c r="F40" s="1835"/>
      <c r="G40" s="1835"/>
      <c r="H40" s="1834" t="s">
        <v>226</v>
      </c>
      <c r="I40" s="1835"/>
      <c r="J40" s="1836"/>
    </row>
    <row r="41" spans="1:10" s="275" customFormat="1" ht="15" thickBot="1" x14ac:dyDescent="0.2">
      <c r="A41" s="1833"/>
      <c r="B41" s="365">
        <v>43191</v>
      </c>
      <c r="C41" s="365">
        <v>43374</v>
      </c>
      <c r="D41" s="365">
        <v>43556</v>
      </c>
      <c r="E41" s="365">
        <v>43191</v>
      </c>
      <c r="F41" s="365">
        <v>43374</v>
      </c>
      <c r="G41" s="365">
        <v>43556</v>
      </c>
      <c r="H41" s="365">
        <v>43191</v>
      </c>
      <c r="I41" s="365">
        <v>43374</v>
      </c>
      <c r="J41" s="366">
        <v>43556</v>
      </c>
    </row>
    <row r="42" spans="1:10" s="275" customFormat="1" ht="15" customHeight="1" x14ac:dyDescent="0.15">
      <c r="A42" s="349" t="s">
        <v>229</v>
      </c>
      <c r="B42" s="564">
        <v>567.6</v>
      </c>
      <c r="C42" s="564">
        <v>573.45000000000005</v>
      </c>
      <c r="D42" s="564"/>
      <c r="E42" s="564">
        <v>1135.21</v>
      </c>
      <c r="F42" s="564">
        <v>1146.9000000000001</v>
      </c>
      <c r="G42" s="565"/>
      <c r="H42" s="565">
        <v>1702.81</v>
      </c>
      <c r="I42" s="565">
        <v>1720.35</v>
      </c>
      <c r="J42" s="565"/>
    </row>
    <row r="43" spans="1:10" s="275" customFormat="1" ht="15" customHeight="1" x14ac:dyDescent="0.15">
      <c r="A43" s="349" t="s">
        <v>224</v>
      </c>
      <c r="B43" s="549">
        <v>1702.81</v>
      </c>
      <c r="C43" s="549">
        <v>1720.35</v>
      </c>
      <c r="D43" s="549"/>
      <c r="E43" s="549">
        <v>2270.41</v>
      </c>
      <c r="F43" s="549">
        <v>2293.8000000000002</v>
      </c>
      <c r="G43" s="321"/>
      <c r="H43" s="321">
        <v>2838.02</v>
      </c>
      <c r="I43" s="321">
        <v>2867.25</v>
      </c>
      <c r="J43" s="321"/>
    </row>
    <row r="44" spans="1:10" s="275" customFormat="1" ht="15" customHeight="1" x14ac:dyDescent="0.15">
      <c r="A44" s="349" t="s">
        <v>230</v>
      </c>
      <c r="B44" s="549">
        <v>1135.21</v>
      </c>
      <c r="C44" s="549">
        <v>1146.9000000000001</v>
      </c>
      <c r="D44" s="321"/>
      <c r="E44" s="549">
        <v>1702.3</v>
      </c>
      <c r="F44" s="549">
        <v>1720.35</v>
      </c>
      <c r="G44" s="321"/>
      <c r="H44" s="321">
        <v>2270.41</v>
      </c>
      <c r="I44" s="321">
        <v>2293.8000000000002</v>
      </c>
      <c r="J44" s="321"/>
    </row>
    <row r="45" spans="1:10" s="275" customFormat="1" ht="15" customHeight="1" x14ac:dyDescent="0.15">
      <c r="A45" s="349" t="s">
        <v>231</v>
      </c>
      <c r="B45" s="549">
        <v>1135.21</v>
      </c>
      <c r="C45" s="549">
        <v>1146.9000000000001</v>
      </c>
      <c r="D45" s="321"/>
      <c r="E45" s="549">
        <v>1135.21</v>
      </c>
      <c r="F45" s="549">
        <v>1146.9000000000001</v>
      </c>
      <c r="G45" s="321"/>
      <c r="H45" s="321">
        <v>1135.21</v>
      </c>
      <c r="I45" s="321">
        <v>1146.9000000000001</v>
      </c>
      <c r="J45" s="321"/>
    </row>
    <row r="46" spans="1:10" s="275" customFormat="1" ht="15" customHeight="1" x14ac:dyDescent="0.15">
      <c r="A46" s="349" t="s">
        <v>374</v>
      </c>
      <c r="B46" s="549">
        <v>567.6</v>
      </c>
      <c r="C46" s="549">
        <v>573.45000000000005</v>
      </c>
      <c r="D46" s="549"/>
      <c r="E46" s="549">
        <v>851.66</v>
      </c>
      <c r="F46" s="549">
        <v>860.43</v>
      </c>
      <c r="G46" s="321"/>
      <c r="H46" s="321">
        <v>1135.21</v>
      </c>
      <c r="I46" s="321">
        <v>1146.9000000000001</v>
      </c>
      <c r="J46" s="321"/>
    </row>
    <row r="47" spans="1:10" s="275" customFormat="1" ht="15" customHeight="1" thickBot="1" x14ac:dyDescent="0.2">
      <c r="A47" s="350" t="s">
        <v>232</v>
      </c>
      <c r="B47" s="552">
        <v>1135.21</v>
      </c>
      <c r="C47" s="552">
        <v>1146.9000000000001</v>
      </c>
      <c r="D47" s="327"/>
      <c r="E47" s="552">
        <v>1702.81</v>
      </c>
      <c r="F47" s="552">
        <v>1720.35</v>
      </c>
      <c r="G47" s="327"/>
      <c r="H47" s="327">
        <v>2270.41</v>
      </c>
      <c r="I47" s="327">
        <v>2293.8000000000002</v>
      </c>
      <c r="J47" s="327"/>
    </row>
    <row r="48" spans="1:10" s="275" customFormat="1" ht="9" customHeight="1" x14ac:dyDescent="0.15">
      <c r="A48" s="356"/>
      <c r="B48" s="353"/>
      <c r="C48" s="353"/>
      <c r="D48" s="354"/>
      <c r="E48" s="353"/>
      <c r="F48" s="353"/>
      <c r="G48" s="354"/>
      <c r="H48" s="355"/>
      <c r="I48" s="354"/>
      <c r="J48" s="354"/>
    </row>
    <row r="49" spans="1:10" s="275" customFormat="1" ht="15" customHeight="1" x14ac:dyDescent="0.15">
      <c r="A49" s="275" t="s">
        <v>254</v>
      </c>
      <c r="F49" s="348"/>
      <c r="G49" s="265"/>
      <c r="H49" s="355"/>
      <c r="I49" s="354"/>
      <c r="J49" s="354"/>
    </row>
    <row r="50" spans="1:10" s="275" customFormat="1" ht="12.75" customHeight="1" x14ac:dyDescent="0.15">
      <c r="A50" s="586" t="s">
        <v>217</v>
      </c>
      <c r="F50" s="348"/>
      <c r="G50" s="265"/>
      <c r="H50" s="355"/>
      <c r="I50" s="354"/>
      <c r="J50" s="354"/>
    </row>
    <row r="51" spans="1:10" s="412" customFormat="1" ht="25.5" customHeight="1" thickBot="1" x14ac:dyDescent="0.2">
      <c r="A51" s="587" t="s">
        <v>375</v>
      </c>
    </row>
    <row r="52" spans="1:10" s="412" customFormat="1" ht="19" thickBot="1" x14ac:dyDescent="0.25">
      <c r="A52" s="1837" t="s">
        <v>252</v>
      </c>
      <c r="B52" s="1838"/>
      <c r="C52" s="1838"/>
      <c r="D52" s="1838"/>
      <c r="E52" s="1838"/>
      <c r="F52" s="1838"/>
      <c r="G52" s="1839"/>
      <c r="H52" s="542"/>
    </row>
    <row r="53" spans="1:10" s="412" customFormat="1" ht="16" customHeight="1" thickBot="1" x14ac:dyDescent="0.2">
      <c r="A53" s="1840" t="s">
        <v>494</v>
      </c>
      <c r="B53" s="1841"/>
      <c r="C53" s="1841"/>
      <c r="D53" s="1841"/>
      <c r="E53" s="1841"/>
      <c r="F53" s="1841"/>
      <c r="G53" s="1842"/>
    </row>
    <row r="54" spans="1:10" s="412" customFormat="1" ht="15" thickBot="1" x14ac:dyDescent="0.2">
      <c r="A54" s="974"/>
      <c r="B54" s="975">
        <v>43191</v>
      </c>
      <c r="C54" s="736">
        <v>43374</v>
      </c>
      <c r="D54" s="976">
        <v>43556</v>
      </c>
      <c r="E54" s="975">
        <v>43739</v>
      </c>
      <c r="F54" s="736">
        <v>43922</v>
      </c>
      <c r="G54" s="976">
        <v>44228</v>
      </c>
    </row>
    <row r="55" spans="1:10" s="412" customFormat="1" ht="15" thickBot="1" x14ac:dyDescent="0.2">
      <c r="A55" s="377" t="s">
        <v>253</v>
      </c>
      <c r="B55" s="588">
        <v>1.63</v>
      </c>
      <c r="C55" s="589">
        <v>1.03</v>
      </c>
      <c r="D55" s="590">
        <v>1.0820000000000001</v>
      </c>
      <c r="E55" s="588">
        <v>0.86</v>
      </c>
      <c r="F55" s="589">
        <v>1.98</v>
      </c>
      <c r="G55" s="590">
        <v>0.68</v>
      </c>
      <c r="H55" s="268"/>
    </row>
    <row r="56" spans="1:10" s="412" customFormat="1" ht="14" x14ac:dyDescent="0.15">
      <c r="A56" s="584"/>
      <c r="B56" s="585"/>
      <c r="C56" s="543"/>
      <c r="D56" s="543"/>
    </row>
    <row r="57" spans="1:10" s="275" customFormat="1" ht="15" thickBot="1" x14ac:dyDescent="0.2">
      <c r="A57" s="277"/>
    </row>
    <row r="58" spans="1:10" s="275" customFormat="1" ht="19" thickBot="1" x14ac:dyDescent="0.25">
      <c r="A58" s="1705" t="s">
        <v>511</v>
      </c>
      <c r="B58" s="1706"/>
      <c r="C58" s="1706"/>
      <c r="D58" s="1707"/>
    </row>
    <row r="59" spans="1:10" s="275" customFormat="1" ht="15" thickBot="1" x14ac:dyDescent="0.2">
      <c r="A59" s="1818" t="s">
        <v>513</v>
      </c>
      <c r="B59" s="1819"/>
      <c r="C59" s="1819"/>
      <c r="D59" s="1820"/>
    </row>
    <row r="60" spans="1:10" s="275" customFormat="1" ht="15" thickBot="1" x14ac:dyDescent="0.2">
      <c r="A60" s="376"/>
      <c r="B60" s="372">
        <v>43191</v>
      </c>
      <c r="C60" s="371">
        <v>43374</v>
      </c>
      <c r="D60" s="373">
        <v>43556</v>
      </c>
    </row>
    <row r="61" spans="1:10" s="275" customFormat="1" ht="15" thickBot="1" x14ac:dyDescent="0.2">
      <c r="A61" s="377" t="s">
        <v>512</v>
      </c>
      <c r="B61" s="574">
        <v>3048.9</v>
      </c>
      <c r="C61" s="575">
        <v>3080.3</v>
      </c>
      <c r="D61" s="576"/>
    </row>
    <row r="62" spans="1:10" s="275" customFormat="1" ht="14" x14ac:dyDescent="0.15">
      <c r="A62" s="361"/>
      <c r="B62" s="361"/>
      <c r="C62" s="362"/>
      <c r="D62" s="362"/>
    </row>
    <row r="63" spans="1:10" ht="14" x14ac:dyDescent="0.15">
      <c r="A63" s="361"/>
      <c r="B63" s="361"/>
      <c r="C63" s="362"/>
      <c r="D63" s="362"/>
      <c r="E63" s="275"/>
      <c r="F63" s="275"/>
      <c r="G63" s="275"/>
      <c r="H63" s="275"/>
      <c r="I63" s="275"/>
      <c r="J63" s="275"/>
    </row>
    <row r="64" spans="1:10" ht="14" x14ac:dyDescent="0.15">
      <c r="A64" s="363"/>
      <c r="B64" s="363"/>
      <c r="C64" s="364"/>
      <c r="D64" s="362"/>
      <c r="E64" s="948"/>
      <c r="F64" s="948"/>
      <c r="G64" s="948"/>
      <c r="H64" s="948"/>
      <c r="I64" s="275"/>
      <c r="J64" s="275"/>
    </row>
    <row r="65" spans="1:10" ht="14" x14ac:dyDescent="0.15">
      <c r="A65" s="363"/>
      <c r="B65" s="363"/>
      <c r="C65" s="364"/>
      <c r="D65" s="362"/>
      <c r="E65" s="275"/>
      <c r="F65" s="275"/>
      <c r="G65" s="275"/>
      <c r="H65" s="275"/>
      <c r="I65" s="275"/>
      <c r="J65" s="275"/>
    </row>
    <row r="66" spans="1:10" ht="14" x14ac:dyDescent="0.15">
      <c r="A66" s="302"/>
      <c r="B66" s="302"/>
      <c r="C66" s="302"/>
      <c r="D66" s="302"/>
      <c r="E66" s="275"/>
      <c r="F66" s="275"/>
      <c r="G66" s="275"/>
      <c r="H66" s="275"/>
      <c r="I66" s="275"/>
      <c r="J66" s="275"/>
    </row>
    <row r="67" spans="1:10" ht="14" x14ac:dyDescent="0.15">
      <c r="A67" s="275"/>
      <c r="B67" s="275"/>
      <c r="C67" s="275"/>
      <c r="D67" s="275"/>
      <c r="E67" s="275"/>
      <c r="F67" s="275"/>
      <c r="G67" s="275"/>
      <c r="H67" s="275"/>
      <c r="I67" s="275"/>
      <c r="J67" s="275"/>
    </row>
    <row r="68" spans="1:10" ht="14" x14ac:dyDescent="0.15">
      <c r="A68" s="275"/>
      <c r="B68" s="275"/>
      <c r="C68" s="275"/>
      <c r="D68" s="275"/>
      <c r="E68" s="275"/>
      <c r="F68" s="275"/>
      <c r="G68" s="275"/>
      <c r="H68" s="275"/>
      <c r="I68" s="275"/>
      <c r="J68" s="275"/>
    </row>
    <row r="69" spans="1:10" ht="14" x14ac:dyDescent="0.15">
      <c r="A69" s="275"/>
      <c r="B69" s="275"/>
      <c r="C69" s="275"/>
      <c r="D69" s="275"/>
      <c r="E69" s="275"/>
      <c r="F69" s="275"/>
      <c r="G69" s="275"/>
      <c r="H69" s="275"/>
      <c r="I69" s="275"/>
      <c r="J69" s="275"/>
    </row>
    <row r="70" spans="1:10" ht="14" x14ac:dyDescent="0.15">
      <c r="A70" s="275"/>
      <c r="B70" s="275"/>
      <c r="C70" s="275"/>
      <c r="D70" s="275"/>
    </row>
    <row r="71" spans="1:10" ht="14" x14ac:dyDescent="0.15">
      <c r="A71" s="948"/>
      <c r="B71" s="948"/>
      <c r="C71" s="948"/>
      <c r="D71" s="948"/>
    </row>
    <row r="72" spans="1:10" s="275" customFormat="1" ht="14" x14ac:dyDescent="0.15">
      <c r="A72" s="948"/>
      <c r="E72" s="357"/>
      <c r="F72" s="357"/>
      <c r="G72" s="357"/>
      <c r="H72" s="357"/>
      <c r="I72" s="357"/>
      <c r="J72" s="357"/>
    </row>
    <row r="73" spans="1:10" s="275" customFormat="1" ht="14" x14ac:dyDescent="0.15">
      <c r="E73" s="357"/>
      <c r="F73" s="357"/>
      <c r="G73" s="357"/>
      <c r="H73" s="357"/>
      <c r="I73" s="357"/>
      <c r="J73" s="357"/>
    </row>
    <row r="74" spans="1:10" s="275" customFormat="1" ht="14" x14ac:dyDescent="0.15">
      <c r="E74" s="357"/>
      <c r="F74" s="357"/>
      <c r="G74" s="357"/>
      <c r="H74" s="357"/>
      <c r="I74" s="357"/>
      <c r="J74" s="357"/>
    </row>
    <row r="75" spans="1:10" s="275" customFormat="1" ht="14" x14ac:dyDescent="0.15">
      <c r="E75" s="357"/>
      <c r="F75" s="357"/>
      <c r="G75" s="357"/>
      <c r="H75" s="357"/>
      <c r="I75" s="357"/>
      <c r="J75" s="357"/>
    </row>
    <row r="76" spans="1:10" s="275" customFormat="1" ht="14" x14ac:dyDescent="0.15">
      <c r="E76" s="357"/>
      <c r="F76" s="357"/>
      <c r="G76" s="357"/>
      <c r="H76" s="357"/>
      <c r="I76" s="357"/>
      <c r="J76" s="357"/>
    </row>
    <row r="77" spans="1:10" s="275" customFormat="1" ht="14" x14ac:dyDescent="0.15">
      <c r="A77" s="357"/>
      <c r="B77" s="357"/>
      <c r="C77" s="357"/>
      <c r="D77" s="357"/>
      <c r="E77" s="357"/>
      <c r="F77" s="357"/>
      <c r="G77" s="357"/>
      <c r="H77" s="357"/>
      <c r="I77" s="357"/>
      <c r="J77" s="357"/>
    </row>
    <row r="78" spans="1:10" s="275" customFormat="1" ht="14" x14ac:dyDescent="0.15">
      <c r="A78" s="357"/>
      <c r="B78" s="357"/>
      <c r="C78" s="357"/>
      <c r="D78" s="357"/>
      <c r="E78" s="357"/>
      <c r="F78" s="357"/>
      <c r="G78" s="357"/>
      <c r="H78" s="357"/>
      <c r="I78" s="357"/>
      <c r="J78" s="357"/>
    </row>
    <row r="79" spans="1:10" s="275" customFormat="1" ht="14" x14ac:dyDescent="0.15">
      <c r="A79" s="357"/>
      <c r="B79" s="357"/>
      <c r="C79" s="357"/>
      <c r="D79" s="357"/>
    </row>
    <row r="80" spans="1:10" s="275" customFormat="1" ht="14" x14ac:dyDescent="0.15">
      <c r="A80" s="357"/>
      <c r="B80" s="357"/>
      <c r="C80" s="357"/>
      <c r="D80" s="357"/>
    </row>
    <row r="81" spans="1:4" s="275" customFormat="1" ht="14" x14ac:dyDescent="0.15">
      <c r="A81" s="357"/>
      <c r="B81" s="357"/>
      <c r="C81" s="357"/>
      <c r="D81" s="357"/>
    </row>
    <row r="82" spans="1:4" s="275" customFormat="1" ht="14" x14ac:dyDescent="0.15">
      <c r="A82" s="357"/>
      <c r="B82" s="357"/>
      <c r="C82" s="357"/>
      <c r="D82" s="357"/>
    </row>
    <row r="83" spans="1:4" s="275" customFormat="1" ht="14" x14ac:dyDescent="0.15">
      <c r="A83" s="357"/>
      <c r="B83" s="357"/>
      <c r="C83" s="357"/>
      <c r="D83" s="357"/>
    </row>
    <row r="84" spans="1:4" s="275" customFormat="1" ht="14" x14ac:dyDescent="0.15">
      <c r="A84" s="357"/>
      <c r="B84" s="357"/>
      <c r="C84" s="357"/>
      <c r="D84" s="357"/>
    </row>
    <row r="85" spans="1:4" s="275" customFormat="1" ht="14" x14ac:dyDescent="0.15">
      <c r="A85" s="357"/>
      <c r="B85" s="357"/>
      <c r="C85" s="357"/>
      <c r="D85" s="357"/>
    </row>
    <row r="86" spans="1:4" s="275" customFormat="1" ht="14" x14ac:dyDescent="0.15"/>
    <row r="87" spans="1:4" s="275" customFormat="1" ht="14" x14ac:dyDescent="0.15"/>
    <row r="88" spans="1:4" s="275" customFormat="1" ht="14" x14ac:dyDescent="0.15"/>
    <row r="89" spans="1:4" s="275" customFormat="1" ht="14" x14ac:dyDescent="0.15"/>
    <row r="90" spans="1:4" s="275" customFormat="1" ht="14" x14ac:dyDescent="0.15"/>
    <row r="91" spans="1:4" s="275" customFormat="1" ht="14" x14ac:dyDescent="0.15"/>
    <row r="92" spans="1:4" s="275" customFormat="1" ht="14" x14ac:dyDescent="0.15"/>
    <row r="93" spans="1:4" s="275" customFormat="1" ht="14" x14ac:dyDescent="0.15"/>
    <row r="94" spans="1:4" s="275" customFormat="1" ht="14" x14ac:dyDescent="0.15"/>
    <row r="95" spans="1:4" s="275" customFormat="1" ht="14" x14ac:dyDescent="0.15"/>
    <row r="96" spans="1:4" s="275" customFormat="1" ht="14" x14ac:dyDescent="0.15"/>
    <row r="97" s="275" customFormat="1" ht="14" x14ac:dyDescent="0.15"/>
    <row r="98" s="275" customFormat="1" ht="14" x14ac:dyDescent="0.15"/>
    <row r="99" s="275" customFormat="1" ht="14" x14ac:dyDescent="0.15"/>
    <row r="100" s="275" customFormat="1" ht="14" x14ac:dyDescent="0.15"/>
    <row r="101" s="275" customFormat="1" ht="14" x14ac:dyDescent="0.15"/>
    <row r="102" s="275" customFormat="1" ht="14" x14ac:dyDescent="0.15"/>
    <row r="103" s="275" customFormat="1" ht="14" x14ac:dyDescent="0.15"/>
    <row r="104" s="275" customFormat="1" ht="14" x14ac:dyDescent="0.15"/>
    <row r="105" s="275" customFormat="1" ht="14" x14ac:dyDescent="0.15"/>
    <row r="106" s="275" customFormat="1" ht="14" x14ac:dyDescent="0.15"/>
    <row r="107" s="275" customFormat="1" ht="14" x14ac:dyDescent="0.15"/>
    <row r="108" s="275" customFormat="1" ht="14" x14ac:dyDescent="0.15"/>
    <row r="109" s="275" customFormat="1" ht="14" x14ac:dyDescent="0.15"/>
    <row r="110" s="275" customFormat="1" ht="14" x14ac:dyDescent="0.15"/>
    <row r="111" s="275" customFormat="1" ht="14" x14ac:dyDescent="0.15"/>
    <row r="112" s="275" customFormat="1" ht="14" x14ac:dyDescent="0.15"/>
    <row r="113" s="275" customFormat="1" ht="14" x14ac:dyDescent="0.15"/>
    <row r="114" s="275" customFormat="1" ht="14" x14ac:dyDescent="0.15"/>
    <row r="115" s="275" customFormat="1" ht="14" x14ac:dyDescent="0.15"/>
    <row r="116" s="275" customFormat="1" ht="14" x14ac:dyDescent="0.15"/>
    <row r="117" s="275" customFormat="1" ht="14" x14ac:dyDescent="0.15"/>
    <row r="118" s="275" customFormat="1" ht="14" x14ac:dyDescent="0.15"/>
    <row r="119" s="275" customFormat="1" ht="14" x14ac:dyDescent="0.15"/>
    <row r="120" s="275" customFormat="1" ht="14" x14ac:dyDescent="0.15"/>
    <row r="121" s="275" customFormat="1" ht="14" x14ac:dyDescent="0.15"/>
    <row r="122" s="275" customFormat="1" ht="14" x14ac:dyDescent="0.15"/>
    <row r="123" s="275" customFormat="1" ht="14" x14ac:dyDescent="0.15"/>
    <row r="124" s="275" customFormat="1" ht="14" x14ac:dyDescent="0.15"/>
    <row r="125" s="275" customFormat="1" ht="14" x14ac:dyDescent="0.15"/>
    <row r="126" s="275" customFormat="1" ht="14" x14ac:dyDescent="0.15"/>
    <row r="127" s="275" customFormat="1" ht="14" x14ac:dyDescent="0.15"/>
    <row r="128" s="275" customFormat="1" ht="14" x14ac:dyDescent="0.15"/>
    <row r="129" s="275" customFormat="1" ht="14" x14ac:dyDescent="0.15"/>
    <row r="130" s="275" customFormat="1" ht="14" x14ac:dyDescent="0.15"/>
    <row r="131" s="275" customFormat="1" ht="14" x14ac:dyDescent="0.15"/>
    <row r="132" s="275" customFormat="1" ht="14" x14ac:dyDescent="0.15"/>
    <row r="133" s="275" customFormat="1" ht="14" x14ac:dyDescent="0.15"/>
    <row r="134" s="275" customFormat="1" ht="14" x14ac:dyDescent="0.15"/>
    <row r="135" s="275" customFormat="1" ht="14" x14ac:dyDescent="0.15"/>
    <row r="136" s="275" customFormat="1" ht="14" x14ac:dyDescent="0.15"/>
    <row r="137" s="275" customFormat="1" ht="14" x14ac:dyDescent="0.15"/>
    <row r="138" s="275" customFormat="1" ht="14" x14ac:dyDescent="0.15"/>
    <row r="139" s="275" customFormat="1" ht="14" x14ac:dyDescent="0.15"/>
    <row r="140" s="275" customFormat="1" ht="14" x14ac:dyDescent="0.15"/>
    <row r="141" s="275" customFormat="1" ht="14" x14ac:dyDescent="0.15"/>
    <row r="142" s="275" customFormat="1" ht="14" x14ac:dyDescent="0.15"/>
    <row r="143" s="275" customFormat="1" ht="14" x14ac:dyDescent="0.15"/>
    <row r="144" s="275" customFormat="1" ht="14" x14ac:dyDescent="0.15"/>
    <row r="145" spans="1:10" s="275" customFormat="1" ht="14" x14ac:dyDescent="0.15"/>
    <row r="146" spans="1:10" s="275" customFormat="1" ht="14" x14ac:dyDescent="0.15"/>
    <row r="147" spans="1:10" s="275" customFormat="1" ht="14" x14ac:dyDescent="0.15"/>
    <row r="148" spans="1:10" s="275" customFormat="1" ht="14" x14ac:dyDescent="0.15"/>
    <row r="149" spans="1:10" s="275" customFormat="1" ht="14" x14ac:dyDescent="0.15"/>
    <row r="150" spans="1:10" s="275" customFormat="1" ht="14" x14ac:dyDescent="0.15"/>
    <row r="151" spans="1:10" s="275" customFormat="1" ht="14" x14ac:dyDescent="0.15"/>
    <row r="152" spans="1:10" s="275" customFormat="1" ht="14" x14ac:dyDescent="0.15"/>
    <row r="153" spans="1:10" s="275" customFormat="1" ht="14" x14ac:dyDescent="0.15"/>
    <row r="154" spans="1:10" ht="14" x14ac:dyDescent="0.15">
      <c r="A154" s="275"/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1:10" ht="14" x14ac:dyDescent="0.15">
      <c r="A155" s="275"/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1:10" ht="14" x14ac:dyDescent="0.15">
      <c r="A156" s="275"/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1:10" ht="14" x14ac:dyDescent="0.15">
      <c r="A157" s="275"/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1:10" ht="14" x14ac:dyDescent="0.15">
      <c r="A158" s="275"/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1:10" ht="14" x14ac:dyDescent="0.15">
      <c r="A159" s="275"/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1:10" ht="14" x14ac:dyDescent="0.15">
      <c r="A160" s="275"/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1:4" ht="14" x14ac:dyDescent="0.15">
      <c r="A161" s="275"/>
      <c r="B161" s="275"/>
      <c r="C161" s="275"/>
      <c r="D161" s="275"/>
    </row>
    <row r="162" spans="1:4" ht="14" x14ac:dyDescent="0.15">
      <c r="A162" s="275"/>
      <c r="B162" s="275"/>
      <c r="C162" s="275"/>
      <c r="D162" s="275"/>
    </row>
    <row r="163" spans="1:4" ht="14" x14ac:dyDescent="0.15">
      <c r="A163" s="275"/>
      <c r="B163" s="275"/>
      <c r="C163" s="275"/>
      <c r="D163" s="275"/>
    </row>
    <row r="164" spans="1:4" ht="14" x14ac:dyDescent="0.15">
      <c r="A164" s="275"/>
      <c r="B164" s="275"/>
      <c r="C164" s="275"/>
      <c r="D164" s="275"/>
    </row>
    <row r="165" spans="1:4" ht="14" x14ac:dyDescent="0.15">
      <c r="A165" s="275"/>
      <c r="B165" s="275"/>
      <c r="C165" s="275"/>
      <c r="D165" s="275"/>
    </row>
    <row r="166" spans="1:4" ht="14" x14ac:dyDescent="0.15">
      <c r="A166" s="275"/>
      <c r="B166" s="275"/>
      <c r="C166" s="275"/>
      <c r="D166" s="275"/>
    </row>
    <row r="167" spans="1:4" ht="14" x14ac:dyDescent="0.15">
      <c r="A167" s="275"/>
      <c r="B167" s="275"/>
      <c r="C167" s="275"/>
      <c r="D167" s="275"/>
    </row>
  </sheetData>
  <sheetProtection sheet="1" objects="1" scenarios="1"/>
  <mergeCells count="29">
    <mergeCell ref="A59:D59"/>
    <mergeCell ref="A39:J39"/>
    <mergeCell ref="A40:A41"/>
    <mergeCell ref="B40:D40"/>
    <mergeCell ref="E40:G40"/>
    <mergeCell ref="H40:J40"/>
    <mergeCell ref="A58:D58"/>
    <mergeCell ref="A52:G52"/>
    <mergeCell ref="A53:G53"/>
    <mergeCell ref="A26:B26"/>
    <mergeCell ref="A27:B27"/>
    <mergeCell ref="A28:B28"/>
    <mergeCell ref="A30:J30"/>
    <mergeCell ref="A31:A32"/>
    <mergeCell ref="B31:D31"/>
    <mergeCell ref="E31:G31"/>
    <mergeCell ref="H31:J31"/>
    <mergeCell ref="A25:B25"/>
    <mergeCell ref="A1:J1"/>
    <mergeCell ref="A2:J2"/>
    <mergeCell ref="A3:J3"/>
    <mergeCell ref="A4:J4"/>
    <mergeCell ref="A6:D6"/>
    <mergeCell ref="E6:H6"/>
    <mergeCell ref="A12:D12"/>
    <mergeCell ref="A13:D13"/>
    <mergeCell ref="A17:E17"/>
    <mergeCell ref="A23:F23"/>
    <mergeCell ref="A24:C24"/>
  </mergeCells>
  <phoneticPr fontId="6" type="noConversion"/>
  <pageMargins left="0.59" right="0.39" top="0.75" bottom="0.75" header="0.31" footer="0.31"/>
  <pageSetup paperSize="9" scale="72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8"/>
  <sheetViews>
    <sheetView view="pageBreakPreview" workbookViewId="0">
      <selection activeCell="A11" sqref="A11"/>
    </sheetView>
  </sheetViews>
  <sheetFormatPr baseColWidth="10" defaultColWidth="8.83203125" defaultRowHeight="15" x14ac:dyDescent="0.2"/>
  <cols>
    <col min="1" max="1" width="13.33203125" customWidth="1"/>
    <col min="2" max="3" width="11.33203125" customWidth="1"/>
    <col min="4" max="6" width="9.83203125" customWidth="1"/>
    <col min="7" max="7" width="10.1640625" customWidth="1"/>
    <col min="8" max="8" width="8.832031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 x14ac:dyDescent="0.25">
      <c r="A1" s="1966" t="s">
        <v>134</v>
      </c>
      <c r="B1" s="1967"/>
      <c r="C1" s="1967"/>
      <c r="D1" s="1967"/>
      <c r="E1" s="1967"/>
      <c r="F1" s="1967"/>
      <c r="G1" s="1967"/>
      <c r="H1" s="1968"/>
      <c r="I1" s="1929"/>
      <c r="J1" s="1930"/>
    </row>
    <row r="2" spans="1:20" s="38" customFormat="1" ht="12" customHeight="1" thickBot="1" x14ac:dyDescent="0.25">
      <c r="A2" s="1928"/>
      <c r="B2" s="1928"/>
      <c r="C2" s="1928"/>
      <c r="D2" s="1928"/>
      <c r="E2" s="1928"/>
      <c r="F2" s="1928"/>
      <c r="G2" s="1928"/>
      <c r="H2" s="1928"/>
      <c r="I2" s="1928"/>
      <c r="J2" s="1928"/>
      <c r="K2" s="27"/>
      <c r="L2" s="27"/>
      <c r="M2" s="27"/>
    </row>
    <row r="3" spans="1:20" s="38" customFormat="1" ht="19" customHeight="1" thickBot="1" x14ac:dyDescent="0.25">
      <c r="A3" s="1215" t="s">
        <v>520</v>
      </c>
      <c r="B3" s="1216"/>
      <c r="C3" s="1216"/>
      <c r="D3" s="1216"/>
      <c r="E3" s="1216"/>
      <c r="F3" s="1216"/>
      <c r="G3" s="1216"/>
      <c r="H3" s="1217"/>
      <c r="I3" s="1931"/>
      <c r="J3" s="1432"/>
      <c r="K3" s="27"/>
    </row>
    <row r="4" spans="1:20" ht="21" customHeight="1" thickBot="1" x14ac:dyDescent="0.25">
      <c r="A4" s="102"/>
      <c r="B4" s="1941" t="s">
        <v>37</v>
      </c>
      <c r="C4" s="1363"/>
      <c r="D4" s="1363"/>
      <c r="E4" s="1363"/>
      <c r="F4" s="1363"/>
      <c r="G4" s="1363"/>
      <c r="H4" s="1364"/>
      <c r="I4" s="1931"/>
      <c r="J4" s="1432"/>
      <c r="K4" s="2"/>
    </row>
    <row r="5" spans="1:20" ht="15" customHeight="1" x14ac:dyDescent="0.2">
      <c r="A5" s="1964"/>
      <c r="B5" s="1514" t="s">
        <v>34</v>
      </c>
      <c r="C5" s="1531"/>
      <c r="D5" s="1514" t="s">
        <v>106</v>
      </c>
      <c r="E5" s="1531"/>
      <c r="F5" s="1514" t="s">
        <v>107</v>
      </c>
      <c r="G5" s="1531"/>
      <c r="H5" s="1361" t="s">
        <v>108</v>
      </c>
      <c r="I5" s="1931"/>
      <c r="J5" s="1432"/>
      <c r="K5" s="2"/>
    </row>
    <row r="6" spans="1:20" ht="33.75" customHeight="1" thickBot="1" x14ac:dyDescent="0.25">
      <c r="A6" s="1905"/>
      <c r="B6" s="1535"/>
      <c r="C6" s="1537"/>
      <c r="D6" s="1535"/>
      <c r="E6" s="1537"/>
      <c r="F6" s="1535"/>
      <c r="G6" s="1537"/>
      <c r="H6" s="1362"/>
      <c r="I6" s="1931"/>
      <c r="J6" s="1432"/>
      <c r="K6" s="2"/>
    </row>
    <row r="7" spans="1:20" ht="17" customHeight="1" x14ac:dyDescent="0.2">
      <c r="A7" s="103" t="s">
        <v>35</v>
      </c>
      <c r="B7" s="1935">
        <v>94.65</v>
      </c>
      <c r="C7" s="1936"/>
      <c r="D7" s="1935">
        <v>63.1</v>
      </c>
      <c r="E7" s="1936"/>
      <c r="F7" s="1969">
        <v>31.55</v>
      </c>
      <c r="G7" s="1969"/>
      <c r="H7" s="154">
        <v>0</v>
      </c>
      <c r="I7" s="1931"/>
      <c r="J7" s="1432"/>
      <c r="K7" s="2"/>
    </row>
    <row r="8" spans="1:20" ht="17" customHeight="1" thickBot="1" x14ac:dyDescent="0.25">
      <c r="A8" s="104" t="s">
        <v>36</v>
      </c>
      <c r="B8" s="1970">
        <v>189.35</v>
      </c>
      <c r="C8" s="1971"/>
      <c r="D8" s="1937">
        <v>126.25</v>
      </c>
      <c r="E8" s="1938"/>
      <c r="F8" s="1965">
        <v>63.1</v>
      </c>
      <c r="G8" s="1965"/>
      <c r="H8" s="155">
        <v>0</v>
      </c>
      <c r="I8" s="1931"/>
      <c r="J8" s="1432"/>
      <c r="K8" s="2"/>
    </row>
    <row r="9" spans="1:20" ht="17" customHeight="1" thickBot="1" x14ac:dyDescent="0.25">
      <c r="A9" s="105" t="s">
        <v>22</v>
      </c>
      <c r="B9" s="1942">
        <f>SUM(B7:C8)</f>
        <v>284</v>
      </c>
      <c r="C9" s="1942"/>
      <c r="D9" s="1939">
        <f>SUM(D7:E8)</f>
        <v>189.35</v>
      </c>
      <c r="E9" s="1940"/>
      <c r="F9" s="1942">
        <f>SUM(F7:G8)</f>
        <v>94.65</v>
      </c>
      <c r="G9" s="1942"/>
      <c r="H9" s="156">
        <f>SUM(H7:I8)</f>
        <v>0</v>
      </c>
      <c r="I9" s="1931"/>
      <c r="J9" s="1432"/>
      <c r="K9" s="157"/>
    </row>
    <row r="10" spans="1:20" ht="17" customHeight="1" x14ac:dyDescent="0.2">
      <c r="A10" s="1932" t="s">
        <v>318</v>
      </c>
      <c r="B10" s="1932"/>
      <c r="C10" s="1932"/>
      <c r="D10" s="1932"/>
      <c r="E10" s="1932"/>
      <c r="F10" s="1932"/>
      <c r="G10" s="1932"/>
      <c r="H10" s="1932"/>
      <c r="I10" s="1934"/>
      <c r="J10" s="1934"/>
      <c r="K10" s="6"/>
      <c r="L10" s="2"/>
      <c r="M10" s="157"/>
    </row>
    <row r="11" spans="1:20" ht="17" customHeight="1" x14ac:dyDescent="0.2">
      <c r="A11" s="972" t="s">
        <v>521</v>
      </c>
      <c r="B11" s="972"/>
      <c r="C11" s="972"/>
      <c r="D11" s="972"/>
      <c r="E11" s="972"/>
      <c r="F11" s="972"/>
      <c r="G11" s="972"/>
      <c r="H11" s="972"/>
      <c r="I11" s="973"/>
      <c r="J11" s="973"/>
      <c r="K11" s="6"/>
      <c r="L11" s="2"/>
      <c r="M11" s="157"/>
    </row>
    <row r="12" spans="1:20" ht="16" customHeight="1" thickBot="1" x14ac:dyDescent="0.25">
      <c r="A12" s="1933"/>
      <c r="B12" s="1933"/>
      <c r="C12" s="1933"/>
      <c r="D12" s="1933"/>
      <c r="E12" s="1933"/>
      <c r="F12" s="1933"/>
      <c r="G12" s="1933"/>
      <c r="H12" s="1933"/>
      <c r="I12" s="1933"/>
      <c r="J12" s="1933"/>
      <c r="K12" s="2"/>
      <c r="L12" s="2"/>
      <c r="M12" s="2"/>
    </row>
    <row r="13" spans="1:20" s="2" customFormat="1" ht="24" customHeight="1" thickBot="1" x14ac:dyDescent="0.2">
      <c r="A13" s="1821" t="s">
        <v>68</v>
      </c>
      <c r="B13" s="1822"/>
      <c r="C13" s="1822"/>
      <c r="D13" s="1822"/>
      <c r="E13" s="1822"/>
      <c r="F13" s="1822"/>
      <c r="G13" s="1822"/>
      <c r="H13" s="1823"/>
      <c r="M13" s="16"/>
      <c r="N13" s="16"/>
      <c r="O13" s="16"/>
      <c r="P13" s="16"/>
      <c r="Q13" s="16"/>
      <c r="R13" s="16"/>
      <c r="S13" s="16"/>
      <c r="T13" s="16"/>
    </row>
    <row r="14" spans="1:20" s="2" customFormat="1" ht="21" customHeight="1" thickBot="1" x14ac:dyDescent="0.2">
      <c r="A14" s="1972" t="s">
        <v>241</v>
      </c>
      <c r="B14" s="1973"/>
      <c r="C14" s="1973"/>
      <c r="D14" s="1973"/>
      <c r="E14" s="1973"/>
      <c r="F14" s="1973"/>
      <c r="G14" s="1974"/>
      <c r="H14" s="124" t="s">
        <v>67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17" customHeight="1" thickBot="1" x14ac:dyDescent="0.2">
      <c r="A15" s="1947" t="s">
        <v>69</v>
      </c>
      <c r="B15" s="1948"/>
      <c r="C15" s="1948"/>
      <c r="D15" s="1948"/>
      <c r="E15" s="1948"/>
      <c r="F15" s="1948"/>
      <c r="G15" s="1949"/>
      <c r="H15" s="125">
        <v>108.35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21" customHeight="1" thickBot="1" x14ac:dyDescent="0.2">
      <c r="A16" s="1950" t="s">
        <v>242</v>
      </c>
      <c r="B16" s="1951"/>
      <c r="C16" s="1951"/>
      <c r="D16" s="1951"/>
      <c r="E16" s="1951"/>
      <c r="F16" s="1951"/>
      <c r="G16" s="1952"/>
      <c r="H16" s="126" t="s">
        <v>93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x14ac:dyDescent="0.15">
      <c r="A17" s="1953" t="s">
        <v>198</v>
      </c>
      <c r="B17" s="1954"/>
      <c r="C17" s="1954"/>
      <c r="D17" s="1954"/>
      <c r="E17" s="1954"/>
      <c r="F17" s="1954"/>
      <c r="G17" s="1955"/>
      <c r="H17" s="1959">
        <v>176.5</v>
      </c>
      <c r="M17" s="16"/>
      <c r="N17" s="16"/>
      <c r="O17" s="16"/>
      <c r="P17" s="16"/>
      <c r="Q17" s="16"/>
      <c r="R17" s="16"/>
      <c r="S17" s="16"/>
      <c r="T17" s="16"/>
    </row>
    <row r="18" spans="1:20" s="2" customFormat="1" ht="16" customHeight="1" thickBot="1" x14ac:dyDescent="0.2">
      <c r="A18" s="1956"/>
      <c r="B18" s="1957"/>
      <c r="C18" s="1957"/>
      <c r="D18" s="1957"/>
      <c r="E18" s="1957"/>
      <c r="F18" s="1957"/>
      <c r="G18" s="1958"/>
      <c r="H18" s="1960"/>
      <c r="M18" s="16"/>
      <c r="N18" s="16"/>
      <c r="O18" s="16"/>
      <c r="P18" s="16"/>
      <c r="Q18" s="16"/>
      <c r="R18" s="16"/>
      <c r="S18" s="16"/>
      <c r="T18" s="16"/>
    </row>
    <row r="19" spans="1:20" s="2" customFormat="1" ht="21" customHeight="1" thickBot="1" x14ac:dyDescent="0.2">
      <c r="A19" s="20"/>
      <c r="B19" s="20"/>
      <c r="C19" s="20"/>
      <c r="D19" s="20"/>
      <c r="E19" s="20"/>
      <c r="F19" s="20"/>
      <c r="G19" s="20"/>
      <c r="H19" s="20"/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thickBot="1" x14ac:dyDescent="0.2">
      <c r="A20" s="1215" t="s">
        <v>320</v>
      </c>
      <c r="B20" s="1216"/>
      <c r="C20" s="1216"/>
      <c r="D20" s="1216"/>
      <c r="E20" s="1216"/>
      <c r="F20" s="1216"/>
      <c r="G20" s="1216"/>
      <c r="H20" s="1217"/>
      <c r="M20" s="16"/>
      <c r="N20" s="16"/>
      <c r="O20" s="16"/>
      <c r="P20" s="16"/>
      <c r="Q20" s="16"/>
      <c r="R20" s="16"/>
      <c r="S20" s="16"/>
      <c r="T20" s="16"/>
    </row>
    <row r="21" spans="1:20" s="2" customFormat="1" ht="16" customHeight="1" x14ac:dyDescent="0.15">
      <c r="A21" s="1904" t="s">
        <v>38</v>
      </c>
      <c r="B21" s="1514" t="s">
        <v>42</v>
      </c>
      <c r="C21" s="1530"/>
      <c r="D21" s="1531"/>
      <c r="E21" s="1514" t="s">
        <v>42</v>
      </c>
      <c r="F21" s="1530"/>
      <c r="G21" s="1530"/>
      <c r="H21" s="1531"/>
      <c r="M21" s="16"/>
      <c r="N21" s="16"/>
      <c r="O21" s="16"/>
      <c r="P21" s="16"/>
      <c r="Q21" s="16"/>
      <c r="R21" s="16"/>
      <c r="S21" s="16"/>
      <c r="T21" s="16"/>
    </row>
    <row r="22" spans="1:20" ht="26" customHeight="1" thickBot="1" x14ac:dyDescent="0.25">
      <c r="A22" s="1905"/>
      <c r="B22" s="1910">
        <v>40999</v>
      </c>
      <c r="C22" s="1911"/>
      <c r="D22" s="1912"/>
      <c r="E22" s="1910" t="str">
        <f>'Løntabel gældende fra'!$D$1</f>
        <v>01/10/2018</v>
      </c>
      <c r="F22" s="1911"/>
      <c r="G22" s="1911"/>
      <c r="H22" s="1912"/>
      <c r="I22" s="20"/>
      <c r="J22" s="20"/>
      <c r="K22" s="2"/>
      <c r="L22" s="2"/>
      <c r="M22" s="2"/>
    </row>
    <row r="23" spans="1:20" ht="24" customHeight="1" x14ac:dyDescent="0.2">
      <c r="A23" s="98" t="s">
        <v>39</v>
      </c>
      <c r="B23" s="1915">
        <v>6000</v>
      </c>
      <c r="C23" s="1916"/>
      <c r="D23" s="1917"/>
      <c r="E23" s="1907">
        <f>B23+B23*'Løntabel gældende fra'!$D$7%</f>
        <v>6449.8320000000003</v>
      </c>
      <c r="F23" s="1907"/>
      <c r="G23" s="1907"/>
      <c r="H23" s="1908"/>
      <c r="I23" s="45"/>
      <c r="J23" s="45"/>
      <c r="K23" s="45"/>
      <c r="L23" s="2"/>
      <c r="M23" s="2"/>
      <c r="N23" s="2"/>
    </row>
    <row r="24" spans="1:20" x14ac:dyDescent="0.2">
      <c r="A24" s="99" t="s">
        <v>40</v>
      </c>
      <c r="B24" s="1918">
        <v>7600</v>
      </c>
      <c r="C24" s="1919"/>
      <c r="D24" s="1920"/>
      <c r="E24" s="1913">
        <f>B24+B24*'Løntabel gældende fra'!$D$7%</f>
        <v>8169.7871999999998</v>
      </c>
      <c r="F24" s="1913"/>
      <c r="G24" s="1913"/>
      <c r="H24" s="1914"/>
      <c r="I24" s="1906"/>
      <c r="J24" s="1906"/>
      <c r="K24" s="1906"/>
      <c r="L24" s="2"/>
      <c r="M24" s="2"/>
      <c r="N24" s="2"/>
    </row>
    <row r="25" spans="1:20" ht="19.5" customHeight="1" thickBot="1" x14ac:dyDescent="0.25">
      <c r="A25" s="100" t="s">
        <v>41</v>
      </c>
      <c r="B25" s="1923">
        <v>9000</v>
      </c>
      <c r="C25" s="1924"/>
      <c r="D25" s="1925"/>
      <c r="E25" s="1921">
        <f>B25+B25*'Løntabel gældende fra'!$D$7%</f>
        <v>9674.7479999999996</v>
      </c>
      <c r="F25" s="1921"/>
      <c r="G25" s="1921"/>
      <c r="H25" s="1922"/>
      <c r="I25" s="1906"/>
      <c r="J25" s="1906"/>
      <c r="K25" s="1906"/>
      <c r="L25" s="2"/>
      <c r="M25" s="2"/>
      <c r="N25" s="2"/>
    </row>
    <row r="26" spans="1:20" ht="14" customHeight="1" thickBot="1" x14ac:dyDescent="0.25">
      <c r="A26" s="2"/>
      <c r="B26" s="2"/>
      <c r="C26" s="2"/>
      <c r="D26" s="2"/>
      <c r="E26" s="2"/>
      <c r="F26" s="2"/>
      <c r="G26" s="2"/>
      <c r="H26" s="2"/>
      <c r="I26" s="1909"/>
      <c r="J26" s="1909"/>
      <c r="K26" s="25"/>
      <c r="L26" s="2"/>
      <c r="M26" s="2"/>
      <c r="N26" s="2"/>
    </row>
    <row r="27" spans="1:20" ht="14" customHeight="1" thickBot="1" x14ac:dyDescent="0.25">
      <c r="A27" s="1215" t="s">
        <v>457</v>
      </c>
      <c r="B27" s="1216"/>
      <c r="C27" s="1216"/>
      <c r="D27" s="1216"/>
      <c r="E27" s="1216"/>
      <c r="F27" s="1216"/>
      <c r="G27" s="1216"/>
      <c r="H27" s="1217"/>
      <c r="I27" s="1882"/>
      <c r="J27" s="1882"/>
      <c r="K27" s="26"/>
      <c r="L27" s="2"/>
      <c r="M27" s="2"/>
      <c r="N27" s="2"/>
    </row>
    <row r="28" spans="1:20" ht="14" customHeight="1" thickBot="1" x14ac:dyDescent="0.25">
      <c r="A28" s="1770">
        <v>2018</v>
      </c>
      <c r="B28" s="1771"/>
      <c r="C28" s="1771"/>
      <c r="D28" s="1772"/>
      <c r="E28" s="1100" t="s">
        <v>142</v>
      </c>
      <c r="F28" s="1101"/>
      <c r="G28" s="1887" t="s">
        <v>143</v>
      </c>
      <c r="H28" s="1888"/>
      <c r="I28" s="1882"/>
      <c r="J28" s="1882"/>
      <c r="K28" s="26"/>
      <c r="L28" s="2"/>
      <c r="M28" s="2"/>
      <c r="N28" s="2"/>
    </row>
    <row r="29" spans="1:20" ht="62.25" customHeight="1" thickBot="1" x14ac:dyDescent="0.25">
      <c r="A29" s="1889"/>
      <c r="B29" s="1890"/>
      <c r="C29" s="1890"/>
      <c r="D29" s="1891"/>
      <c r="E29" s="740" t="s">
        <v>461</v>
      </c>
      <c r="F29" s="740" t="s">
        <v>377</v>
      </c>
      <c r="G29" s="657" t="s">
        <v>461</v>
      </c>
      <c r="H29" s="741" t="s">
        <v>377</v>
      </c>
      <c r="I29" s="2"/>
      <c r="J29" s="2"/>
      <c r="K29" s="2"/>
      <c r="L29" s="2"/>
      <c r="M29" s="2"/>
    </row>
    <row r="30" spans="1:20" ht="18.75" customHeight="1" x14ac:dyDescent="0.2">
      <c r="A30" s="1885" t="s">
        <v>144</v>
      </c>
      <c r="B30" s="1886"/>
      <c r="C30" s="1886"/>
      <c r="D30" s="775"/>
      <c r="E30" s="742">
        <v>427</v>
      </c>
      <c r="F30" s="233">
        <f>E30/24</f>
        <v>17.791666666666668</v>
      </c>
      <c r="G30" s="308">
        <v>498</v>
      </c>
      <c r="H30" s="746">
        <f>G30/24</f>
        <v>20.75</v>
      </c>
      <c r="I30" s="237"/>
      <c r="J30" s="27"/>
      <c r="K30" s="27"/>
      <c r="L30" s="2"/>
      <c r="M30" s="2"/>
    </row>
    <row r="31" spans="1:20" ht="15.75" customHeight="1" x14ac:dyDescent="0.2">
      <c r="A31" s="1883" t="s">
        <v>380</v>
      </c>
      <c r="B31" s="1884"/>
      <c r="C31" s="1884"/>
      <c r="D31" s="774"/>
      <c r="E31" s="743">
        <f>(E30*15)/100</f>
        <v>64.05</v>
      </c>
      <c r="F31" s="234">
        <f t="shared" ref="F31:F35" si="0">E31/24</f>
        <v>2.6687499999999997</v>
      </c>
      <c r="G31" s="309">
        <f>(G30*15)/100</f>
        <v>74.7</v>
      </c>
      <c r="H31" s="747">
        <f t="shared" ref="H31:H35" si="1">G31/24</f>
        <v>3.1125000000000003</v>
      </c>
      <c r="I31" s="776"/>
      <c r="J31" s="776"/>
      <c r="K31" s="28"/>
      <c r="L31" s="27"/>
      <c r="M31" s="2"/>
      <c r="N31" s="2"/>
    </row>
    <row r="32" spans="1:20" ht="19.5" customHeight="1" x14ac:dyDescent="0.2">
      <c r="A32" s="1883" t="s">
        <v>381</v>
      </c>
      <c r="B32" s="1884"/>
      <c r="C32" s="1884"/>
      <c r="D32" s="774"/>
      <c r="E32" s="743">
        <f>(E30*30)/100</f>
        <v>128.1</v>
      </c>
      <c r="F32" s="234">
        <f t="shared" si="0"/>
        <v>5.3374999999999995</v>
      </c>
      <c r="G32" s="310">
        <f>(G30*30)/100</f>
        <v>149.4</v>
      </c>
      <c r="H32" s="747">
        <f t="shared" si="1"/>
        <v>6.2250000000000005</v>
      </c>
      <c r="I32" s="776"/>
      <c r="J32" s="776"/>
      <c r="K32" s="28"/>
      <c r="L32" s="27"/>
      <c r="M32" s="2"/>
      <c r="N32" s="2"/>
    </row>
    <row r="33" spans="1:14" ht="17" customHeight="1" x14ac:dyDescent="0.2">
      <c r="A33" s="1883" t="s">
        <v>382</v>
      </c>
      <c r="B33" s="1884"/>
      <c r="C33" s="1884"/>
      <c r="D33" s="774"/>
      <c r="E33" s="743">
        <f>(E30*30)/100</f>
        <v>128.1</v>
      </c>
      <c r="F33" s="234">
        <f t="shared" si="0"/>
        <v>5.3374999999999995</v>
      </c>
      <c r="G33" s="311">
        <f>(G30*30)/100</f>
        <v>149.4</v>
      </c>
      <c r="H33" s="747">
        <f t="shared" si="1"/>
        <v>6.2250000000000005</v>
      </c>
      <c r="I33" s="232"/>
      <c r="K33" s="52"/>
      <c r="L33" s="27"/>
      <c r="M33" s="2"/>
      <c r="N33" s="2"/>
    </row>
    <row r="34" spans="1:14" ht="17" customHeight="1" x14ac:dyDescent="0.2">
      <c r="A34" s="1883" t="s">
        <v>383</v>
      </c>
      <c r="B34" s="1884"/>
      <c r="C34" s="1884"/>
      <c r="D34" s="774"/>
      <c r="E34" s="743">
        <f>(E30*75)/100</f>
        <v>320.25</v>
      </c>
      <c r="F34" s="234">
        <f t="shared" si="0"/>
        <v>13.34375</v>
      </c>
      <c r="G34" s="310">
        <f>(G30*75)/100</f>
        <v>373.5</v>
      </c>
      <c r="H34" s="747">
        <f t="shared" si="1"/>
        <v>15.5625</v>
      </c>
      <c r="I34" s="232"/>
      <c r="K34" s="53"/>
      <c r="L34" s="312"/>
      <c r="M34" s="2"/>
      <c r="N34" s="2"/>
    </row>
    <row r="35" spans="1:14" ht="17" customHeight="1" thickBot="1" x14ac:dyDescent="0.25">
      <c r="A35" s="1898" t="s">
        <v>58</v>
      </c>
      <c r="B35" s="1899"/>
      <c r="C35" s="1899"/>
      <c r="D35" s="777"/>
      <c r="E35" s="744">
        <f>E30-E34</f>
        <v>106.75</v>
      </c>
      <c r="F35" s="235">
        <f t="shared" si="0"/>
        <v>4.447916666666667</v>
      </c>
      <c r="G35" s="572">
        <f>G30-G34</f>
        <v>124.5</v>
      </c>
      <c r="H35" s="748">
        <f t="shared" si="1"/>
        <v>5.1875</v>
      </c>
      <c r="I35" s="232"/>
      <c r="K35" s="54"/>
      <c r="L35" s="27"/>
      <c r="M35" s="2"/>
      <c r="N35" s="2"/>
    </row>
    <row r="36" spans="1:14" ht="17" customHeight="1" thickBot="1" x14ac:dyDescent="0.25">
      <c r="A36" s="82"/>
      <c r="B36" s="82"/>
      <c r="C36" s="82"/>
      <c r="D36" s="107"/>
      <c r="E36" s="107"/>
      <c r="F36" s="107"/>
      <c r="G36" s="745"/>
      <c r="H36" s="232"/>
      <c r="I36" s="232"/>
      <c r="K36" s="55"/>
      <c r="L36" s="27"/>
      <c r="M36" s="2"/>
      <c r="N36" s="2"/>
    </row>
    <row r="37" spans="1:14" ht="17" customHeight="1" thickBot="1" x14ac:dyDescent="0.25">
      <c r="A37" s="1215" t="s">
        <v>59</v>
      </c>
      <c r="B37" s="1216"/>
      <c r="C37" s="1216"/>
      <c r="D37" s="1216"/>
      <c r="E37" s="1216"/>
      <c r="F37" s="1216"/>
      <c r="G37" s="1216"/>
      <c r="H37" s="1217"/>
      <c r="I37" s="232"/>
      <c r="K37" s="55"/>
      <c r="L37" s="27"/>
      <c r="M37" s="2"/>
      <c r="N37" s="2"/>
    </row>
    <row r="38" spans="1:14" ht="17" customHeight="1" x14ac:dyDescent="0.2">
      <c r="A38" s="1961">
        <v>2018</v>
      </c>
      <c r="B38" s="1962"/>
      <c r="C38" s="1962"/>
      <c r="D38" s="1962"/>
      <c r="E38" s="1962"/>
      <c r="F38" s="1962"/>
      <c r="G38" s="1963"/>
      <c r="H38" s="127" t="s">
        <v>67</v>
      </c>
      <c r="I38" s="232"/>
      <c r="K38" s="55"/>
      <c r="L38" s="27"/>
      <c r="M38" s="2"/>
      <c r="N38" s="2"/>
    </row>
    <row r="39" spans="1:14" ht="26" customHeight="1" x14ac:dyDescent="0.2">
      <c r="A39" s="1900" t="s">
        <v>141</v>
      </c>
      <c r="B39" s="1901"/>
      <c r="C39" s="1901"/>
      <c r="D39" s="1901"/>
      <c r="E39" s="658"/>
      <c r="F39" s="658"/>
      <c r="G39" s="778"/>
      <c r="H39" s="128">
        <v>1.94</v>
      </c>
      <c r="J39" s="27"/>
      <c r="K39" s="27"/>
      <c r="L39" s="2"/>
      <c r="M39" s="2"/>
    </row>
    <row r="40" spans="1:14" ht="24" customHeight="1" thickBot="1" x14ac:dyDescent="0.25">
      <c r="A40" s="1902" t="s">
        <v>60</v>
      </c>
      <c r="B40" s="1903"/>
      <c r="C40" s="1903"/>
      <c r="D40" s="1903"/>
      <c r="E40" s="659"/>
      <c r="F40" s="659"/>
      <c r="G40" s="779"/>
      <c r="H40" s="129">
        <v>3.54</v>
      </c>
      <c r="I40" s="773"/>
      <c r="J40" s="773"/>
      <c r="K40" s="2"/>
      <c r="L40" s="2"/>
      <c r="M40" s="2"/>
    </row>
    <row r="41" spans="1:14" ht="17.25" customHeight="1" x14ac:dyDescent="0.2">
      <c r="A41" s="1943" t="s">
        <v>456</v>
      </c>
      <c r="B41" s="1943"/>
      <c r="C41" s="1943"/>
      <c r="D41" s="1943"/>
      <c r="E41" s="660"/>
      <c r="F41" s="660"/>
      <c r="G41" s="47"/>
      <c r="H41" s="771"/>
      <c r="I41" s="772"/>
      <c r="J41" s="773"/>
      <c r="K41" s="773"/>
      <c r="L41" s="2"/>
      <c r="M41" s="2"/>
      <c r="N41" s="2"/>
    </row>
    <row r="42" spans="1:14" ht="12.75" customHeight="1" thickBot="1" x14ac:dyDescent="0.25">
      <c r="A42" s="943"/>
      <c r="B42" s="943"/>
      <c r="C42" s="943"/>
      <c r="D42" s="943"/>
      <c r="E42" s="943"/>
      <c r="F42" s="943"/>
      <c r="G42" s="943"/>
      <c r="H42" s="943"/>
      <c r="I42" s="772"/>
      <c r="J42" s="773"/>
      <c r="K42" s="773"/>
      <c r="L42" s="2"/>
      <c r="M42" s="2"/>
      <c r="N42" s="2"/>
    </row>
    <row r="43" spans="1:14" ht="17" customHeight="1" thickBot="1" x14ac:dyDescent="0.25">
      <c r="A43" s="1215" t="s">
        <v>64</v>
      </c>
      <c r="B43" s="1216"/>
      <c r="C43" s="1216"/>
      <c r="D43" s="1216"/>
      <c r="E43" s="1216"/>
      <c r="F43" s="1216"/>
      <c r="G43" s="1216"/>
      <c r="H43" s="1217"/>
      <c r="I43" s="771"/>
      <c r="J43" s="771"/>
      <c r="K43" s="771"/>
    </row>
    <row r="44" spans="1:14" ht="18" customHeight="1" thickBot="1" x14ac:dyDescent="0.25">
      <c r="A44" s="1887">
        <v>2018</v>
      </c>
      <c r="B44" s="1893"/>
      <c r="C44" s="1893"/>
      <c r="D44" s="1893"/>
      <c r="E44" s="1893"/>
      <c r="F44" s="1893"/>
      <c r="G44" s="1888"/>
      <c r="H44" s="106" t="s">
        <v>67</v>
      </c>
      <c r="I44" s="771"/>
      <c r="J44" s="771"/>
    </row>
    <row r="45" spans="1:14" ht="18.75" customHeight="1" x14ac:dyDescent="0.2">
      <c r="A45" s="1885" t="s">
        <v>65</v>
      </c>
      <c r="B45" s="1886"/>
      <c r="C45" s="1886"/>
      <c r="D45" s="1886"/>
      <c r="E45" s="1886"/>
      <c r="F45" s="1886"/>
      <c r="G45" s="1894"/>
      <c r="H45" s="130">
        <v>860</v>
      </c>
      <c r="I45" s="943"/>
      <c r="J45" s="943"/>
    </row>
    <row r="46" spans="1:14" ht="24" customHeight="1" thickBot="1" x14ac:dyDescent="0.25">
      <c r="A46" s="1895" t="s">
        <v>66</v>
      </c>
      <c r="B46" s="1896"/>
      <c r="C46" s="1896"/>
      <c r="D46" s="1896"/>
      <c r="E46" s="1896"/>
      <c r="F46" s="1896"/>
      <c r="G46" s="1897"/>
      <c r="H46" s="129">
        <v>573</v>
      </c>
    </row>
    <row r="47" spans="1:14" ht="19" customHeight="1" x14ac:dyDescent="0.2">
      <c r="A47" s="1892" t="s">
        <v>243</v>
      </c>
      <c r="B47" s="1892"/>
      <c r="C47" s="1892"/>
      <c r="D47" s="1892"/>
      <c r="E47" s="1892"/>
      <c r="F47" s="1892"/>
      <c r="G47" s="1892"/>
      <c r="H47" s="1892"/>
    </row>
    <row r="48" spans="1:14" ht="17" customHeight="1" x14ac:dyDescent="0.2">
      <c r="A48" s="780"/>
      <c r="B48" s="780"/>
      <c r="C48" s="780"/>
      <c r="D48" s="780"/>
      <c r="E48" s="780"/>
      <c r="F48" s="780"/>
      <c r="G48" s="780"/>
    </row>
    <row r="49" spans="1:16" ht="17" customHeight="1" thickBot="1" x14ac:dyDescent="0.25">
      <c r="A49" s="943"/>
      <c r="B49" s="943"/>
      <c r="C49" s="943"/>
      <c r="D49" s="943"/>
      <c r="E49" s="943"/>
      <c r="F49" s="943"/>
      <c r="G49" s="943"/>
      <c r="H49" s="943"/>
    </row>
    <row r="50" spans="1:16" s="38" customFormat="1" ht="16" customHeight="1" x14ac:dyDescent="0.2">
      <c r="A50" s="1175" t="s">
        <v>201</v>
      </c>
      <c r="B50" s="1176"/>
      <c r="C50" s="1176"/>
      <c r="D50" s="1176"/>
      <c r="E50" s="1176"/>
      <c r="F50" s="1176"/>
      <c r="G50" s="1176"/>
      <c r="H50" s="1177"/>
    </row>
    <row r="51" spans="1:16" ht="34.5" customHeight="1" thickBot="1" x14ac:dyDescent="0.25">
      <c r="A51" s="1944" t="s">
        <v>376</v>
      </c>
      <c r="B51" s="1945"/>
      <c r="C51" s="1945"/>
      <c r="D51" s="1945"/>
      <c r="E51" s="1945"/>
      <c r="F51" s="1945"/>
      <c r="G51" s="1945"/>
      <c r="H51" s="1946"/>
    </row>
    <row r="52" spans="1:16" ht="17" customHeight="1" x14ac:dyDescent="0.2">
      <c r="A52" s="1870" t="s">
        <v>27</v>
      </c>
      <c r="B52" s="1871"/>
      <c r="C52" s="1871"/>
      <c r="D52" s="1872"/>
      <c r="E52" s="1870" t="s">
        <v>28</v>
      </c>
      <c r="F52" s="1871"/>
      <c r="G52" s="1871"/>
      <c r="H52" s="1872"/>
      <c r="I52" s="943"/>
      <c r="J52" s="943"/>
    </row>
    <row r="53" spans="1:16" ht="17" customHeight="1" x14ac:dyDescent="0.2">
      <c r="A53" s="1858">
        <v>40999</v>
      </c>
      <c r="B53" s="1859"/>
      <c r="C53" s="1859"/>
      <c r="D53" s="1860"/>
      <c r="E53" s="1861">
        <v>0</v>
      </c>
      <c r="F53" s="1862"/>
      <c r="G53" s="1862"/>
      <c r="H53" s="1863"/>
      <c r="I53" s="771"/>
      <c r="J53" s="771"/>
      <c r="K53" s="771"/>
    </row>
    <row r="54" spans="1:16" ht="18" customHeight="1" x14ac:dyDescent="0.2">
      <c r="A54" s="1858">
        <v>41000</v>
      </c>
      <c r="B54" s="1859"/>
      <c r="C54" s="1859"/>
      <c r="D54" s="1860"/>
      <c r="E54" s="1861">
        <v>1.304</v>
      </c>
      <c r="F54" s="1862"/>
      <c r="G54" s="1862"/>
      <c r="H54" s="1863"/>
      <c r="I54" s="781"/>
      <c r="J54" s="781"/>
      <c r="K54" s="781"/>
    </row>
    <row r="55" spans="1:16" ht="14" customHeight="1" x14ac:dyDescent="0.2">
      <c r="A55" s="1858">
        <v>41365</v>
      </c>
      <c r="B55" s="1859"/>
      <c r="C55" s="1859"/>
      <c r="D55" s="1860"/>
      <c r="E55" s="1861">
        <v>1.304</v>
      </c>
      <c r="F55" s="1862"/>
      <c r="G55" s="1862"/>
      <c r="H55" s="1863"/>
      <c r="I55" s="1926"/>
      <c r="J55" s="1927"/>
      <c r="K55" s="1927"/>
      <c r="L55" s="1927"/>
      <c r="M55" s="1927"/>
      <c r="N55" s="1927"/>
      <c r="O55" s="1927"/>
      <c r="P55" s="1927"/>
    </row>
    <row r="56" spans="1:16" ht="17" customHeight="1" x14ac:dyDescent="0.2">
      <c r="A56" s="1858">
        <v>41730</v>
      </c>
      <c r="B56" s="1859"/>
      <c r="C56" s="1859"/>
      <c r="D56" s="1860"/>
      <c r="E56" s="1861">
        <v>1.7161999999999999</v>
      </c>
      <c r="F56" s="1862"/>
      <c r="G56" s="1862"/>
      <c r="H56" s="1863"/>
      <c r="I56" s="1926"/>
      <c r="J56" s="1927"/>
      <c r="K56" s="1927"/>
      <c r="L56" s="1927"/>
      <c r="M56" s="1927"/>
      <c r="N56" s="1927"/>
      <c r="O56" s="1927"/>
      <c r="P56" s="1927"/>
    </row>
    <row r="57" spans="1:16" ht="17" customHeight="1" x14ac:dyDescent="0.2">
      <c r="A57" s="1864">
        <v>42095</v>
      </c>
      <c r="B57" s="1865"/>
      <c r="C57" s="1865"/>
      <c r="D57" s="1866"/>
      <c r="E57" s="1861">
        <v>2.1745000000000001</v>
      </c>
      <c r="F57" s="1862"/>
      <c r="G57" s="1862"/>
      <c r="H57" s="1863"/>
      <c r="I57" s="1926"/>
      <c r="J57" s="1927"/>
      <c r="K57" s="1927"/>
      <c r="L57" s="1927"/>
      <c r="M57" s="1927"/>
      <c r="N57" s="1927"/>
      <c r="O57" s="1927"/>
      <c r="P57" s="1927"/>
    </row>
    <row r="58" spans="1:16" ht="17" customHeight="1" x14ac:dyDescent="0.2">
      <c r="A58" s="1858">
        <v>42461</v>
      </c>
      <c r="B58" s="1859"/>
      <c r="C58" s="1859"/>
      <c r="D58" s="1860"/>
      <c r="E58" s="1861">
        <v>2.9882</v>
      </c>
      <c r="F58" s="1862"/>
      <c r="G58" s="1862"/>
      <c r="H58" s="1863"/>
      <c r="I58" s="1926"/>
      <c r="J58" s="1927"/>
      <c r="K58" s="1927"/>
      <c r="L58" s="1927"/>
      <c r="M58" s="1927"/>
      <c r="N58" s="1927"/>
      <c r="O58" s="1927"/>
      <c r="P58" s="1927"/>
    </row>
    <row r="59" spans="1:16" ht="17" customHeight="1" x14ac:dyDescent="0.2">
      <c r="A59" s="1876">
        <v>42826</v>
      </c>
      <c r="B59" s="1877"/>
      <c r="C59" s="1877"/>
      <c r="D59" s="1878"/>
      <c r="E59" s="1861">
        <v>4.2446000000000002</v>
      </c>
      <c r="F59" s="1862"/>
      <c r="G59" s="1862"/>
      <c r="H59" s="1863"/>
      <c r="I59" s="1926"/>
      <c r="J59" s="1927"/>
      <c r="K59" s="1927"/>
      <c r="L59" s="1927"/>
      <c r="M59" s="1927"/>
      <c r="N59" s="1927"/>
      <c r="O59" s="1927"/>
      <c r="P59" s="1927"/>
    </row>
    <row r="60" spans="1:16" ht="17" customHeight="1" x14ac:dyDescent="0.2">
      <c r="A60" s="1858">
        <v>43070</v>
      </c>
      <c r="B60" s="1859"/>
      <c r="C60" s="1859"/>
      <c r="D60" s="1860"/>
      <c r="E60" s="1861">
        <v>5.7702999999999998</v>
      </c>
      <c r="F60" s="1862"/>
      <c r="G60" s="1862"/>
      <c r="H60" s="1863"/>
      <c r="I60" s="1926"/>
      <c r="J60" s="1927"/>
      <c r="K60" s="1927"/>
      <c r="L60" s="1927"/>
      <c r="M60" s="1927"/>
      <c r="N60" s="1927"/>
      <c r="O60" s="1927"/>
      <c r="P60" s="1927"/>
    </row>
    <row r="61" spans="1:16" ht="17" customHeight="1" x14ac:dyDescent="0.2">
      <c r="A61" s="1858">
        <v>43191</v>
      </c>
      <c r="B61" s="1859"/>
      <c r="C61" s="1859"/>
      <c r="D61" s="1860"/>
      <c r="E61" s="1861">
        <v>6.9683000000000002</v>
      </c>
      <c r="F61" s="1862"/>
      <c r="G61" s="1862"/>
      <c r="H61" s="1863"/>
      <c r="I61" s="1926"/>
      <c r="J61" s="1927"/>
      <c r="K61" s="1927"/>
      <c r="L61" s="1927"/>
      <c r="M61" s="1927"/>
      <c r="N61" s="1927"/>
      <c r="O61" s="1927"/>
      <c r="P61" s="1927"/>
    </row>
    <row r="62" spans="1:16" ht="17" customHeight="1" thickBot="1" x14ac:dyDescent="0.25">
      <c r="A62" s="1867">
        <v>43374</v>
      </c>
      <c r="B62" s="1868"/>
      <c r="C62" s="1868"/>
      <c r="D62" s="1869"/>
      <c r="E62" s="1873">
        <v>7.4972000000000003</v>
      </c>
      <c r="F62" s="1874"/>
      <c r="G62" s="1874"/>
      <c r="H62" s="1875"/>
      <c r="I62" s="1926"/>
      <c r="J62" s="1927"/>
      <c r="K62" s="1927"/>
      <c r="L62" s="1927"/>
      <c r="M62" s="1927"/>
      <c r="N62" s="1927"/>
      <c r="O62" s="1927"/>
      <c r="P62" s="1927"/>
    </row>
    <row r="63" spans="1:16" ht="17" customHeight="1" thickBot="1" x14ac:dyDescent="0.25">
      <c r="A63" s="941"/>
      <c r="B63" s="941"/>
      <c r="C63" s="941"/>
      <c r="D63" s="941"/>
      <c r="E63" s="941"/>
      <c r="F63" s="941"/>
      <c r="G63" s="941"/>
      <c r="H63" s="941"/>
      <c r="I63" s="1926"/>
      <c r="J63" s="1927"/>
      <c r="K63" s="1927"/>
      <c r="L63" s="1927"/>
      <c r="M63" s="1927"/>
      <c r="N63" s="1927"/>
      <c r="O63" s="1927"/>
      <c r="P63" s="1927"/>
    </row>
    <row r="64" spans="1:16" ht="17" customHeight="1" thickBot="1" x14ac:dyDescent="0.25">
      <c r="A64" s="1855" t="s">
        <v>75</v>
      </c>
      <c r="B64" s="1856"/>
      <c r="C64" s="1856"/>
      <c r="D64" s="1856"/>
      <c r="E64" s="1856"/>
      <c r="F64" s="1856"/>
      <c r="G64" s="1856"/>
      <c r="H64" s="1857"/>
      <c r="I64" s="1926"/>
      <c r="J64" s="1927"/>
      <c r="K64" s="1927"/>
      <c r="L64" s="1927"/>
      <c r="M64" s="1927"/>
      <c r="N64" s="1927"/>
      <c r="O64" s="1927"/>
      <c r="P64" s="1927"/>
    </row>
    <row r="65" spans="1:16" ht="17" customHeight="1" thickBot="1" x14ac:dyDescent="0.25">
      <c r="A65" s="1843" t="s">
        <v>76</v>
      </c>
      <c r="B65" s="1844"/>
      <c r="C65" s="1844"/>
      <c r="D65" s="1844"/>
      <c r="E65" s="1844"/>
      <c r="F65" s="1844"/>
      <c r="G65" s="1844"/>
      <c r="H65" s="1845"/>
      <c r="I65" s="1926"/>
      <c r="J65" s="1927"/>
      <c r="K65" s="1927"/>
      <c r="L65" s="1927"/>
      <c r="M65" s="1927"/>
      <c r="N65" s="1927"/>
      <c r="O65" s="1927"/>
      <c r="P65" s="1927"/>
    </row>
    <row r="66" spans="1:16" ht="22" customHeight="1" x14ac:dyDescent="0.2">
      <c r="A66" s="1846" t="s">
        <v>256</v>
      </c>
      <c r="B66" s="1847"/>
      <c r="C66" s="1847"/>
      <c r="D66" s="1847"/>
      <c r="E66" s="1847"/>
      <c r="F66" s="1847"/>
      <c r="G66" s="1847"/>
      <c r="H66" s="1848"/>
      <c r="I66" s="942"/>
      <c r="J66" s="942"/>
    </row>
    <row r="67" spans="1:16" ht="25" customHeight="1" x14ac:dyDescent="0.2">
      <c r="A67" s="1849"/>
      <c r="B67" s="1850"/>
      <c r="C67" s="1850"/>
      <c r="D67" s="1850"/>
      <c r="E67" s="1850"/>
      <c r="F67" s="1850"/>
      <c r="G67" s="1850"/>
      <c r="H67" s="1851"/>
      <c r="I67" s="952"/>
      <c r="J67" s="952"/>
    </row>
    <row r="68" spans="1:16" x14ac:dyDescent="0.2">
      <c r="A68" s="1849"/>
      <c r="B68" s="1850"/>
      <c r="C68" s="1850"/>
      <c r="D68" s="1850"/>
      <c r="E68" s="1850"/>
      <c r="F68" s="1850"/>
      <c r="G68" s="1850"/>
      <c r="H68" s="1851"/>
      <c r="I68" s="953"/>
      <c r="J68" s="953"/>
    </row>
    <row r="69" spans="1:16" ht="15" customHeight="1" x14ac:dyDescent="0.2">
      <c r="A69" s="1849"/>
      <c r="B69" s="1850"/>
      <c r="C69" s="1850"/>
      <c r="D69" s="1850"/>
      <c r="E69" s="1850"/>
      <c r="F69" s="1850"/>
      <c r="G69" s="1850"/>
      <c r="H69" s="1851"/>
      <c r="I69" s="954"/>
      <c r="J69" s="954"/>
    </row>
    <row r="70" spans="1:16" ht="16" thickBot="1" x14ac:dyDescent="0.25">
      <c r="A70" s="1852"/>
      <c r="B70" s="1853"/>
      <c r="C70" s="1853"/>
      <c r="D70" s="1853"/>
      <c r="E70" s="1853"/>
      <c r="F70" s="1853"/>
      <c r="G70" s="1853"/>
      <c r="H70" s="1854"/>
      <c r="I70" s="954"/>
      <c r="J70" s="954"/>
    </row>
    <row r="71" spans="1:16" ht="16" thickBot="1" x14ac:dyDescent="0.25">
      <c r="A71" s="944"/>
      <c r="B71" s="944"/>
      <c r="C71" s="944"/>
      <c r="D71" s="944"/>
      <c r="E71" s="944"/>
      <c r="F71" s="944"/>
      <c r="G71" s="944"/>
      <c r="H71" s="944"/>
      <c r="I71" s="954"/>
      <c r="J71" s="954"/>
    </row>
    <row r="72" spans="1:16" ht="16" thickBot="1" x14ac:dyDescent="0.25">
      <c r="A72" s="1843" t="s">
        <v>77</v>
      </c>
      <c r="B72" s="1844"/>
      <c r="C72" s="1844"/>
      <c r="D72" s="1844"/>
      <c r="E72" s="1844"/>
      <c r="F72" s="1844"/>
      <c r="G72" s="1844"/>
      <c r="H72" s="1845"/>
      <c r="I72" s="954"/>
      <c r="J72" s="954"/>
    </row>
    <row r="73" spans="1:16" ht="35.25" customHeight="1" x14ac:dyDescent="0.2">
      <c r="A73" s="1846" t="s">
        <v>146</v>
      </c>
      <c r="B73" s="1847"/>
      <c r="C73" s="1847"/>
      <c r="D73" s="1847"/>
      <c r="E73" s="1847"/>
      <c r="F73" s="1847"/>
      <c r="G73" s="1847"/>
      <c r="H73" s="1848"/>
      <c r="I73" s="954"/>
      <c r="J73" s="954"/>
    </row>
    <row r="74" spans="1:16" ht="16" thickBot="1" x14ac:dyDescent="0.25">
      <c r="A74" s="1852"/>
      <c r="B74" s="1853"/>
      <c r="C74" s="1853"/>
      <c r="D74" s="1853"/>
      <c r="E74" s="1853"/>
      <c r="F74" s="1853"/>
      <c r="G74" s="1853"/>
      <c r="H74" s="1854"/>
      <c r="I74" s="955"/>
      <c r="J74" s="955"/>
    </row>
    <row r="75" spans="1:16" ht="16" thickBot="1" x14ac:dyDescent="0.25">
      <c r="A75" s="945"/>
      <c r="B75" s="945"/>
      <c r="C75" s="945"/>
      <c r="D75" s="945"/>
      <c r="E75" s="945"/>
      <c r="F75" s="945"/>
      <c r="G75" s="945"/>
      <c r="H75" s="945"/>
      <c r="I75" s="953"/>
      <c r="J75" s="953"/>
    </row>
    <row r="76" spans="1:16" ht="15" customHeight="1" thickBot="1" x14ac:dyDescent="0.25">
      <c r="A76" s="1843" t="s">
        <v>78</v>
      </c>
      <c r="B76" s="1844"/>
      <c r="C76" s="1844"/>
      <c r="D76" s="1844"/>
      <c r="E76" s="1844"/>
      <c r="F76" s="1844"/>
      <c r="G76" s="1844"/>
      <c r="H76" s="1845"/>
      <c r="I76" s="954"/>
      <c r="J76" s="954"/>
    </row>
    <row r="77" spans="1:16" ht="25.5" customHeight="1" thickBot="1" x14ac:dyDescent="0.25">
      <c r="A77" s="306" t="s">
        <v>81</v>
      </c>
      <c r="B77" s="305"/>
      <c r="C77" s="305"/>
      <c r="D77" s="305"/>
      <c r="E77" s="305"/>
      <c r="F77" s="305"/>
      <c r="G77" s="305"/>
      <c r="H77" s="307"/>
      <c r="I77" s="954"/>
      <c r="J77" s="954"/>
    </row>
    <row r="78" spans="1:16" ht="16" thickBot="1" x14ac:dyDescent="0.25">
      <c r="A78" s="945"/>
      <c r="B78" s="945"/>
      <c r="C78" s="945"/>
      <c r="D78" s="945"/>
      <c r="E78" s="945"/>
      <c r="F78" s="945"/>
      <c r="G78" s="945"/>
      <c r="H78" s="945"/>
      <c r="I78" s="956"/>
      <c r="J78" s="956"/>
    </row>
    <row r="79" spans="1:16" ht="16" thickBot="1" x14ac:dyDescent="0.25">
      <c r="A79" s="1843" t="s">
        <v>79</v>
      </c>
      <c r="B79" s="1844"/>
      <c r="C79" s="1844"/>
      <c r="D79" s="1844"/>
      <c r="E79" s="1844"/>
      <c r="F79" s="1844"/>
      <c r="G79" s="1844"/>
      <c r="H79" s="1845"/>
      <c r="I79" s="953"/>
      <c r="J79" s="953"/>
    </row>
    <row r="80" spans="1:16" ht="16" thickBot="1" x14ac:dyDescent="0.25">
      <c r="A80" s="1879" t="s">
        <v>82</v>
      </c>
      <c r="B80" s="1880"/>
      <c r="C80" s="1880"/>
      <c r="D80" s="1880"/>
      <c r="E80" s="1880"/>
      <c r="F80" s="1880"/>
      <c r="G80" s="1880"/>
      <c r="H80" s="1881"/>
      <c r="I80" s="957"/>
      <c r="J80" s="957"/>
    </row>
    <row r="81" spans="1:10" ht="16" thickBot="1" x14ac:dyDescent="0.25">
      <c r="I81" s="956"/>
      <c r="J81" s="956"/>
    </row>
    <row r="82" spans="1:10" ht="16" thickBot="1" x14ac:dyDescent="0.25">
      <c r="A82" s="1843" t="s">
        <v>80</v>
      </c>
      <c r="B82" s="1844"/>
      <c r="C82" s="1844"/>
      <c r="D82" s="1844"/>
      <c r="E82" s="1844"/>
      <c r="F82" s="1844"/>
      <c r="G82" s="1844"/>
      <c r="H82" s="1845"/>
      <c r="I82" s="953"/>
      <c r="J82" s="953"/>
    </row>
    <row r="83" spans="1:10" ht="31.5" customHeight="1" x14ac:dyDescent="0.2">
      <c r="A83" s="1846" t="s">
        <v>398</v>
      </c>
      <c r="B83" s="1847"/>
      <c r="C83" s="1847"/>
      <c r="D83" s="1847"/>
      <c r="E83" s="1847"/>
      <c r="F83" s="1847"/>
      <c r="G83" s="1847"/>
      <c r="H83" s="1848"/>
      <c r="I83" s="958"/>
      <c r="J83" s="957"/>
    </row>
    <row r="84" spans="1:10" x14ac:dyDescent="0.2">
      <c r="A84" s="1849"/>
      <c r="B84" s="1850"/>
      <c r="C84" s="1850"/>
      <c r="D84" s="1850"/>
      <c r="E84" s="1850"/>
      <c r="F84" s="1850"/>
      <c r="G84" s="1850"/>
      <c r="H84" s="1851"/>
      <c r="I84" s="959"/>
      <c r="J84" s="959"/>
    </row>
    <row r="85" spans="1:10" ht="16" thickBot="1" x14ac:dyDescent="0.25">
      <c r="A85" s="1852"/>
      <c r="B85" s="1853"/>
      <c r="C85" s="1853"/>
      <c r="D85" s="1853"/>
      <c r="E85" s="1853"/>
      <c r="F85" s="1853"/>
      <c r="G85" s="1853"/>
      <c r="H85" s="1854"/>
      <c r="I85" s="953"/>
      <c r="J85" s="953"/>
    </row>
    <row r="86" spans="1:10" ht="7" customHeight="1" x14ac:dyDescent="0.2">
      <c r="I86" s="954"/>
      <c r="J86" s="954"/>
    </row>
    <row r="87" spans="1:10" x14ac:dyDescent="0.2">
      <c r="I87" s="954"/>
      <c r="J87" s="954"/>
    </row>
    <row r="88" spans="1:10" ht="22" customHeight="1" x14ac:dyDescent="0.2">
      <c r="I88" s="954"/>
      <c r="J88" s="954"/>
    </row>
  </sheetData>
  <sheetProtection sheet="1" objects="1" scenarios="1"/>
  <mergeCells count="101">
    <mergeCell ref="A37:H37"/>
    <mergeCell ref="A38:G38"/>
    <mergeCell ref="A5:A6"/>
    <mergeCell ref="B5:C6"/>
    <mergeCell ref="H5:H6"/>
    <mergeCell ref="F5:G6"/>
    <mergeCell ref="F8:G8"/>
    <mergeCell ref="A3:H3"/>
    <mergeCell ref="A1:H1"/>
    <mergeCell ref="F7:G7"/>
    <mergeCell ref="B8:C8"/>
    <mergeCell ref="B9:C9"/>
    <mergeCell ref="A20:H20"/>
    <mergeCell ref="B21:D21"/>
    <mergeCell ref="A13:H13"/>
    <mergeCell ref="A14:G14"/>
    <mergeCell ref="I55:P65"/>
    <mergeCell ref="A2:J2"/>
    <mergeCell ref="I1:J1"/>
    <mergeCell ref="I3:J9"/>
    <mergeCell ref="A10:H10"/>
    <mergeCell ref="A12:J12"/>
    <mergeCell ref="I10:J10"/>
    <mergeCell ref="D5:E6"/>
    <mergeCell ref="D7:E7"/>
    <mergeCell ref="D8:E8"/>
    <mergeCell ref="D9:E9"/>
    <mergeCell ref="B4:H4"/>
    <mergeCell ref="F9:G9"/>
    <mergeCell ref="B7:C7"/>
    <mergeCell ref="A41:D41"/>
    <mergeCell ref="A50:H50"/>
    <mergeCell ref="A51:H51"/>
    <mergeCell ref="K24:K25"/>
    <mergeCell ref="E21:H21"/>
    <mergeCell ref="E22:H22"/>
    <mergeCell ref="A15:G15"/>
    <mergeCell ref="A16:G16"/>
    <mergeCell ref="A17:G18"/>
    <mergeCell ref="H17:H18"/>
    <mergeCell ref="I27:J27"/>
    <mergeCell ref="A21:A22"/>
    <mergeCell ref="I24:J25"/>
    <mergeCell ref="E23:H23"/>
    <mergeCell ref="I26:J26"/>
    <mergeCell ref="B22:D22"/>
    <mergeCell ref="E24:H24"/>
    <mergeCell ref="B23:D23"/>
    <mergeCell ref="B24:D24"/>
    <mergeCell ref="A27:H27"/>
    <mergeCell ref="E25:H25"/>
    <mergeCell ref="B25:D25"/>
    <mergeCell ref="A79:H79"/>
    <mergeCell ref="A82:H82"/>
    <mergeCell ref="A80:H80"/>
    <mergeCell ref="A83:H85"/>
    <mergeCell ref="I28:J28"/>
    <mergeCell ref="A31:C31"/>
    <mergeCell ref="A30:C30"/>
    <mergeCell ref="E28:F28"/>
    <mergeCell ref="G28:H28"/>
    <mergeCell ref="A28:D29"/>
    <mergeCell ref="A34:C34"/>
    <mergeCell ref="A33:C33"/>
    <mergeCell ref="A32:C32"/>
    <mergeCell ref="A52:D52"/>
    <mergeCell ref="A53:D53"/>
    <mergeCell ref="A54:D54"/>
    <mergeCell ref="A47:H47"/>
    <mergeCell ref="A43:H43"/>
    <mergeCell ref="A44:G44"/>
    <mergeCell ref="A45:G45"/>
    <mergeCell ref="A46:G46"/>
    <mergeCell ref="A35:C35"/>
    <mergeCell ref="A39:D39"/>
    <mergeCell ref="A40:D40"/>
    <mergeCell ref="E52:H52"/>
    <mergeCell ref="E62:H62"/>
    <mergeCell ref="A58:D58"/>
    <mergeCell ref="E58:H58"/>
    <mergeCell ref="A59:D59"/>
    <mergeCell ref="E59:H59"/>
    <mergeCell ref="E53:H53"/>
    <mergeCell ref="E54:H54"/>
    <mergeCell ref="E55:H55"/>
    <mergeCell ref="E56:H56"/>
    <mergeCell ref="E57:H57"/>
    <mergeCell ref="A60:D60"/>
    <mergeCell ref="E60:H60"/>
    <mergeCell ref="A76:H76"/>
    <mergeCell ref="A66:H70"/>
    <mergeCell ref="A64:H64"/>
    <mergeCell ref="A65:H65"/>
    <mergeCell ref="A72:H72"/>
    <mergeCell ref="A73:H74"/>
    <mergeCell ref="A61:D61"/>
    <mergeCell ref="E61:H61"/>
    <mergeCell ref="A55:D55"/>
    <mergeCell ref="A56:D56"/>
    <mergeCell ref="A57:D57"/>
    <mergeCell ref="A62:D6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5" max="16383" man="1"/>
    <brk id="6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8"/>
  <sheetViews>
    <sheetView view="pageBreakPreview" workbookViewId="0">
      <selection activeCell="D67" sqref="D67"/>
    </sheetView>
  </sheetViews>
  <sheetFormatPr baseColWidth="10" defaultColWidth="8.83203125" defaultRowHeight="15" x14ac:dyDescent="0.2"/>
  <cols>
    <col min="1" max="1" width="8.83203125" style="13"/>
    <col min="2" max="2" width="8.83203125" style="13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 x14ac:dyDescent="0.25">
      <c r="A1" s="1980" t="str">
        <f>"Månedslønninger pr. "&amp;'Løntabel gældende fra'!D1&amp;" statens takster"</f>
        <v>Månedslønninger pr. 01/10/2018 statens takster</v>
      </c>
      <c r="B1" s="1981"/>
      <c r="C1" s="1981"/>
      <c r="D1" s="1981"/>
      <c r="E1" s="1981"/>
      <c r="F1" s="1981"/>
      <c r="G1" s="1981"/>
      <c r="H1" s="1981"/>
      <c r="I1" s="1981"/>
      <c r="J1" s="1981"/>
      <c r="K1" s="1981"/>
      <c r="L1" s="1981"/>
      <c r="M1" s="1981"/>
      <c r="N1" s="1981"/>
      <c r="O1" s="1982"/>
    </row>
    <row r="2" spans="1:15" ht="18" customHeight="1" x14ac:dyDescent="0.2">
      <c r="A2" s="1983" t="s">
        <v>395</v>
      </c>
      <c r="B2" s="1984"/>
      <c r="C2" s="1984"/>
      <c r="D2" s="1984"/>
      <c r="E2" s="1984"/>
      <c r="F2" s="1984"/>
      <c r="G2" s="1984"/>
      <c r="H2" s="1984"/>
      <c r="I2" s="1984"/>
      <c r="J2" s="1984"/>
      <c r="K2" s="1984"/>
      <c r="L2" s="1984"/>
      <c r="M2" s="1984"/>
      <c r="N2" s="1984"/>
      <c r="O2" s="1985"/>
    </row>
    <row r="3" spans="1:15" ht="18" customHeight="1" x14ac:dyDescent="0.2">
      <c r="A3" s="1986" t="s">
        <v>396</v>
      </c>
      <c r="B3" s="1987"/>
      <c r="C3" s="1987"/>
      <c r="D3" s="1987"/>
      <c r="E3" s="1987"/>
      <c r="F3" s="1987"/>
      <c r="G3" s="1987"/>
      <c r="H3" s="1987"/>
      <c r="I3" s="1987"/>
      <c r="J3" s="1987"/>
      <c r="K3" s="1987"/>
      <c r="L3" s="1987"/>
      <c r="M3" s="1987"/>
      <c r="N3" s="1987"/>
      <c r="O3" s="1988"/>
    </row>
    <row r="4" spans="1:15" ht="33.75" customHeight="1" thickBot="1" x14ac:dyDescent="0.25">
      <c r="A4" s="1989"/>
      <c r="B4" s="1990"/>
      <c r="C4" s="1990"/>
      <c r="D4" s="1990"/>
      <c r="E4" s="1990"/>
      <c r="F4" s="1990"/>
      <c r="G4" s="1990"/>
      <c r="H4" s="1990"/>
      <c r="I4" s="1990"/>
      <c r="J4" s="1990"/>
      <c r="K4" s="1990"/>
      <c r="L4" s="1990"/>
      <c r="M4" s="1990"/>
      <c r="N4" s="1990"/>
      <c r="O4" s="1991"/>
    </row>
    <row r="5" spans="1:15" s="33" customFormat="1" ht="26" customHeight="1" thickBot="1" x14ac:dyDescent="0.25">
      <c r="A5" s="414" t="s">
        <v>57</v>
      </c>
      <c r="B5" s="441"/>
      <c r="C5" s="443" t="s">
        <v>111</v>
      </c>
      <c r="D5" s="414" t="s">
        <v>52</v>
      </c>
      <c r="E5" s="441" t="s">
        <v>112</v>
      </c>
      <c r="F5" s="442" t="s">
        <v>53</v>
      </c>
      <c r="G5" s="443" t="s">
        <v>113</v>
      </c>
      <c r="H5" s="414" t="s">
        <v>54</v>
      </c>
      <c r="I5" s="441" t="s">
        <v>114</v>
      </c>
      <c r="J5" s="442" t="s">
        <v>55</v>
      </c>
      <c r="K5" s="443" t="s">
        <v>115</v>
      </c>
      <c r="L5" s="414" t="s">
        <v>56</v>
      </c>
      <c r="M5" s="444"/>
      <c r="N5" s="445" t="s">
        <v>116</v>
      </c>
      <c r="O5" s="446" t="s">
        <v>117</v>
      </c>
    </row>
    <row r="6" spans="1:15" ht="20" customHeight="1" x14ac:dyDescent="0.2">
      <c r="A6" s="1975">
        <v>1</v>
      </c>
      <c r="B6" s="428" t="s">
        <v>97</v>
      </c>
      <c r="C6" s="221">
        <v>184817</v>
      </c>
      <c r="D6" s="214">
        <f>ROUND((C6*(1+'Løntabel gældende fra'!$D$7%)),0)</f>
        <v>198673</v>
      </c>
      <c r="E6" s="222">
        <v>188265</v>
      </c>
      <c r="F6" s="223">
        <f>ROUND((E6*(1+'Løntabel gældende fra'!$D$7%)),0)</f>
        <v>202380</v>
      </c>
      <c r="G6" s="221">
        <v>190650</v>
      </c>
      <c r="H6" s="214">
        <f>ROUND((G6*(1+'Løntabel gældende fra'!$D$7%)),0)</f>
        <v>204943</v>
      </c>
      <c r="I6" s="222">
        <v>194098</v>
      </c>
      <c r="J6" s="223">
        <f>ROUND((I6*(1+'Løntabel gældende fra'!$D$7%)),0)</f>
        <v>208650</v>
      </c>
      <c r="K6" s="221">
        <v>196484</v>
      </c>
      <c r="L6" s="214">
        <f>ROUND((K6*(1+'Løntabel gældende fra'!$D$7%)),0)</f>
        <v>211215</v>
      </c>
      <c r="M6" s="469"/>
      <c r="N6" s="449">
        <v>171917.38</v>
      </c>
      <c r="O6" s="228">
        <f>ROUND(N6*(1+'Løntabel gældende fra'!$D$7%),2)</f>
        <v>184806.37</v>
      </c>
    </row>
    <row r="7" spans="1:15" x14ac:dyDescent="0.2">
      <c r="A7" s="1976"/>
      <c r="B7" s="453" t="s">
        <v>98</v>
      </c>
      <c r="C7" s="458">
        <f>C6/12</f>
        <v>15401.416666666666</v>
      </c>
      <c r="D7" s="465">
        <f t="shared" ref="D7:L7" si="0">ROUND(D6/12,2)</f>
        <v>16556.080000000002</v>
      </c>
      <c r="E7" s="462">
        <f>E6/12</f>
        <v>15688.75</v>
      </c>
      <c r="F7" s="447">
        <f t="shared" si="0"/>
        <v>16865</v>
      </c>
      <c r="G7" s="458">
        <f>G6/12</f>
        <v>15887.5</v>
      </c>
      <c r="H7" s="465">
        <f t="shared" si="0"/>
        <v>17078.580000000002</v>
      </c>
      <c r="I7" s="462">
        <f>I6/12</f>
        <v>16174.833333333334</v>
      </c>
      <c r="J7" s="447">
        <f t="shared" si="0"/>
        <v>17387.5</v>
      </c>
      <c r="K7" s="458">
        <f>K6/12</f>
        <v>16373.666666666666</v>
      </c>
      <c r="L7" s="465">
        <f t="shared" si="0"/>
        <v>17601.25</v>
      </c>
      <c r="M7" s="470"/>
      <c r="N7" s="448"/>
      <c r="O7" s="450">
        <f>ROUND(O6/12,2)</f>
        <v>15400.53</v>
      </c>
    </row>
    <row r="8" spans="1:15" ht="16" thickBot="1" x14ac:dyDescent="0.25">
      <c r="A8" s="1977"/>
      <c r="B8" s="430" t="s">
        <v>239</v>
      </c>
      <c r="C8" s="218"/>
      <c r="D8" s="219">
        <f>ROUND(D7/160.33,2)</f>
        <v>103.26</v>
      </c>
      <c r="E8" s="220"/>
      <c r="F8" s="219">
        <f t="shared" ref="F8:O8" si="1">ROUND(F7/160.33,2)</f>
        <v>105.19</v>
      </c>
      <c r="G8" s="219">
        <f t="shared" si="1"/>
        <v>99.09</v>
      </c>
      <c r="H8" s="219">
        <f t="shared" si="1"/>
        <v>106.52</v>
      </c>
      <c r="I8" s="219">
        <f t="shared" si="1"/>
        <v>100.88</v>
      </c>
      <c r="J8" s="219">
        <f t="shared" si="1"/>
        <v>108.45</v>
      </c>
      <c r="K8" s="219">
        <f t="shared" si="1"/>
        <v>102.12</v>
      </c>
      <c r="L8" s="219">
        <f t="shared" si="1"/>
        <v>109.78</v>
      </c>
      <c r="M8" s="219">
        <f t="shared" si="1"/>
        <v>0</v>
      </c>
      <c r="N8" s="219">
        <f t="shared" si="1"/>
        <v>0</v>
      </c>
      <c r="O8" s="219">
        <f t="shared" si="1"/>
        <v>96.06</v>
      </c>
    </row>
    <row r="9" spans="1:15" x14ac:dyDescent="0.2">
      <c r="A9" s="1975">
        <v>2</v>
      </c>
      <c r="B9" s="428" t="s">
        <v>97</v>
      </c>
      <c r="C9" s="221">
        <v>187655</v>
      </c>
      <c r="D9" s="214">
        <f>ROUND((C9*(1+'Løntabel gældende fra'!$D$7%)),0)</f>
        <v>201724</v>
      </c>
      <c r="E9" s="222">
        <v>191187</v>
      </c>
      <c r="F9" s="223">
        <f>ROUND((E9*(1+'Løntabel gældende fra'!$D$7%)),0)</f>
        <v>205521</v>
      </c>
      <c r="G9" s="221">
        <v>193632</v>
      </c>
      <c r="H9" s="214">
        <f>ROUND((G9*(1+'Løntabel gældende fra'!$D$7%)),0)</f>
        <v>208149</v>
      </c>
      <c r="I9" s="222">
        <v>197161</v>
      </c>
      <c r="J9" s="223">
        <f>ROUND((I9*(1+'Løntabel gældende fra'!$D$7%)),0)</f>
        <v>211943</v>
      </c>
      <c r="K9" s="221">
        <v>199607</v>
      </c>
      <c r="L9" s="214">
        <f>ROUND((K9*(1+'Løntabel gældende fra'!$D$7%)),0)</f>
        <v>214572</v>
      </c>
      <c r="M9" s="471"/>
      <c r="N9" s="449">
        <v>174577.34</v>
      </c>
      <c r="O9" s="228">
        <f>ROUND(N9*(1+'Løntabel gældende fra'!$D$7%),2)</f>
        <v>187665.75</v>
      </c>
    </row>
    <row r="10" spans="1:15" x14ac:dyDescent="0.2">
      <c r="A10" s="1976"/>
      <c r="B10" s="453" t="s">
        <v>98</v>
      </c>
      <c r="C10" s="458"/>
      <c r="D10" s="465">
        <f>ROUND(D9/12,2)</f>
        <v>16810.330000000002</v>
      </c>
      <c r="E10" s="462"/>
      <c r="F10" s="447">
        <f>ROUND(F9/12,2)</f>
        <v>17126.75</v>
      </c>
      <c r="G10" s="458">
        <f>G9/12</f>
        <v>16136</v>
      </c>
      <c r="H10" s="465">
        <f>ROUND(H9/12,2)</f>
        <v>17345.75</v>
      </c>
      <c r="I10" s="462">
        <f>I9/12</f>
        <v>16430.083333333332</v>
      </c>
      <c r="J10" s="447">
        <f>ROUND(J9/12,2)</f>
        <v>17661.919999999998</v>
      </c>
      <c r="K10" s="458">
        <f>K9/12</f>
        <v>16633.916666666668</v>
      </c>
      <c r="L10" s="465">
        <f>ROUND(L9/12,2)</f>
        <v>17881</v>
      </c>
      <c r="M10" s="470"/>
      <c r="N10" s="448"/>
      <c r="O10" s="450">
        <f>ROUND(O9/12,2)</f>
        <v>15638.81</v>
      </c>
    </row>
    <row r="11" spans="1:15" ht="16" thickBot="1" x14ac:dyDescent="0.25">
      <c r="A11" s="1977"/>
      <c r="B11" s="430" t="s">
        <v>239</v>
      </c>
      <c r="C11" s="218">
        <f>C9/12</f>
        <v>15637.916666666666</v>
      </c>
      <c r="D11" s="219">
        <f>ROUND(D10/160.33,2)</f>
        <v>104.85</v>
      </c>
      <c r="E11" s="220">
        <f>E9/12</f>
        <v>15932.25</v>
      </c>
      <c r="F11" s="219">
        <f t="shared" ref="F11:O11" si="2">ROUND(F10/160.33,2)</f>
        <v>106.82</v>
      </c>
      <c r="G11" s="219">
        <f t="shared" si="2"/>
        <v>100.64</v>
      </c>
      <c r="H11" s="219">
        <f t="shared" si="2"/>
        <v>108.19</v>
      </c>
      <c r="I11" s="219">
        <f t="shared" si="2"/>
        <v>102.48</v>
      </c>
      <c r="J11" s="219">
        <f t="shared" si="2"/>
        <v>110.16</v>
      </c>
      <c r="K11" s="219">
        <f t="shared" si="2"/>
        <v>103.75</v>
      </c>
      <c r="L11" s="219">
        <f t="shared" si="2"/>
        <v>111.53</v>
      </c>
      <c r="M11" s="219">
        <f t="shared" si="2"/>
        <v>0</v>
      </c>
      <c r="N11" s="219">
        <f t="shared" si="2"/>
        <v>0</v>
      </c>
      <c r="O11" s="219">
        <f t="shared" si="2"/>
        <v>97.54</v>
      </c>
    </row>
    <row r="12" spans="1:15" x14ac:dyDescent="0.2">
      <c r="A12" s="1975">
        <v>3</v>
      </c>
      <c r="B12" s="428" t="s">
        <v>97</v>
      </c>
      <c r="C12" s="221">
        <v>190571</v>
      </c>
      <c r="D12" s="214">
        <f>ROUND((C12*(1+'Løntabel gældende fra'!$D$7%)),0)</f>
        <v>204858</v>
      </c>
      <c r="E12" s="222">
        <v>194187</v>
      </c>
      <c r="F12" s="223">
        <f>ROUND((E12*(1+'Løntabel gældende fra'!$D$7%)),0)</f>
        <v>208746</v>
      </c>
      <c r="G12" s="221">
        <v>196692</v>
      </c>
      <c r="H12" s="214">
        <f>ROUND((G12*(1+'Løntabel gældende fra'!$D$7%)),0)</f>
        <v>211438</v>
      </c>
      <c r="I12" s="222">
        <v>200308</v>
      </c>
      <c r="J12" s="223">
        <f>ROUND((I12*(1+'Løntabel gældende fra'!$D$7%)),0)</f>
        <v>215325</v>
      </c>
      <c r="K12" s="221">
        <v>202814</v>
      </c>
      <c r="L12" s="214">
        <f>ROUND((K12*(1+'Løntabel gældende fra'!$D$7%)),0)</f>
        <v>218019</v>
      </c>
      <c r="M12" s="471"/>
      <c r="N12" s="449">
        <v>177309.48</v>
      </c>
      <c r="O12" s="228">
        <f>ROUND(N12*(1+'Løntabel gældende fra'!$D$7%),2)</f>
        <v>190602.73</v>
      </c>
    </row>
    <row r="13" spans="1:15" x14ac:dyDescent="0.2">
      <c r="A13" s="1976"/>
      <c r="B13" s="453" t="s">
        <v>98</v>
      </c>
      <c r="C13" s="458">
        <f>C12/12</f>
        <v>15880.916666666666</v>
      </c>
      <c r="D13" s="465">
        <f>ROUND(D12/12,2)</f>
        <v>17071.5</v>
      </c>
      <c r="E13" s="462">
        <f>E12/12</f>
        <v>16182.25</v>
      </c>
      <c r="F13" s="447">
        <f>ROUND(F12/12,2)</f>
        <v>17395.5</v>
      </c>
      <c r="G13" s="458">
        <f>G12/12</f>
        <v>16391</v>
      </c>
      <c r="H13" s="465">
        <f>ROUND(H12/12,2)</f>
        <v>17619.830000000002</v>
      </c>
      <c r="I13" s="462">
        <f>I12/12</f>
        <v>16692.333333333332</v>
      </c>
      <c r="J13" s="447">
        <f>ROUND(J12/12,2)</f>
        <v>17943.75</v>
      </c>
      <c r="K13" s="458">
        <f>K12/12</f>
        <v>16901.166666666668</v>
      </c>
      <c r="L13" s="465">
        <f>ROUND(L12/12,2)</f>
        <v>18168.25</v>
      </c>
      <c r="M13" s="470"/>
      <c r="N13" s="448"/>
      <c r="O13" s="450">
        <f>ROUND(O12/12,2)</f>
        <v>15883.56</v>
      </c>
    </row>
    <row r="14" spans="1:15" ht="16" thickBot="1" x14ac:dyDescent="0.25">
      <c r="A14" s="1977"/>
      <c r="B14" s="430" t="s">
        <v>239</v>
      </c>
      <c r="C14" s="459"/>
      <c r="D14" s="219">
        <f>ROUND(D13/160.33,2)</f>
        <v>106.48</v>
      </c>
      <c r="E14" s="463"/>
      <c r="F14" s="219">
        <f t="shared" ref="F14:O14" si="3">ROUND(F13/160.33,2)</f>
        <v>108.5</v>
      </c>
      <c r="G14" s="219">
        <f t="shared" si="3"/>
        <v>102.23</v>
      </c>
      <c r="H14" s="219">
        <f t="shared" si="3"/>
        <v>109.9</v>
      </c>
      <c r="I14" s="219">
        <f t="shared" si="3"/>
        <v>104.11</v>
      </c>
      <c r="J14" s="219">
        <f t="shared" si="3"/>
        <v>111.92</v>
      </c>
      <c r="K14" s="219">
        <f t="shared" si="3"/>
        <v>105.41</v>
      </c>
      <c r="L14" s="219">
        <f t="shared" si="3"/>
        <v>113.32</v>
      </c>
      <c r="M14" s="219">
        <f t="shared" si="3"/>
        <v>0</v>
      </c>
      <c r="N14" s="219">
        <f t="shared" si="3"/>
        <v>0</v>
      </c>
      <c r="O14" s="219">
        <f t="shared" si="3"/>
        <v>99.07</v>
      </c>
    </row>
    <row r="15" spans="1:15" x14ac:dyDescent="0.2">
      <c r="A15" s="1975">
        <v>4</v>
      </c>
      <c r="B15" s="428" t="s">
        <v>97</v>
      </c>
      <c r="C15" s="221">
        <v>193567</v>
      </c>
      <c r="D15" s="214">
        <f>ROUND((C15*(1+'Løntabel gældende fra'!$D$7%)),0)</f>
        <v>208079</v>
      </c>
      <c r="E15" s="222">
        <v>197274</v>
      </c>
      <c r="F15" s="223">
        <f>ROUND((E15*(1+'Løntabel gældende fra'!$D$7%)),0)</f>
        <v>212064</v>
      </c>
      <c r="G15" s="221">
        <v>199840</v>
      </c>
      <c r="H15" s="214">
        <f>ROUND((G15*(1+'Løntabel gældende fra'!$D$7%)),0)</f>
        <v>214822</v>
      </c>
      <c r="I15" s="222">
        <v>203545</v>
      </c>
      <c r="J15" s="223">
        <f>ROUND((I15*(1+'Løntabel gældende fra'!$D$7%)),0)</f>
        <v>218805</v>
      </c>
      <c r="K15" s="221">
        <v>206110</v>
      </c>
      <c r="L15" s="214">
        <f>ROUND((K15*(1+'Løntabel gældende fra'!$D$7%)),0)</f>
        <v>221562</v>
      </c>
      <c r="M15" s="471"/>
      <c r="N15" s="449">
        <v>180117.41</v>
      </c>
      <c r="O15" s="228">
        <f>ROUND(N15*(1+'Løntabel gældende fra'!$D$7%),2)</f>
        <v>193621.17</v>
      </c>
    </row>
    <row r="16" spans="1:15" x14ac:dyDescent="0.2">
      <c r="A16" s="1976"/>
      <c r="B16" s="453" t="s">
        <v>98</v>
      </c>
      <c r="C16" s="458">
        <f>C15/12</f>
        <v>16130.583333333334</v>
      </c>
      <c r="D16" s="465">
        <f>ROUND(D15/12,2)</f>
        <v>17339.919999999998</v>
      </c>
      <c r="E16" s="462">
        <f>E15/12</f>
        <v>16439.5</v>
      </c>
      <c r="F16" s="447">
        <f>ROUND(F15/12,2)</f>
        <v>17672</v>
      </c>
      <c r="G16" s="458">
        <f>G15/12</f>
        <v>16653.333333333332</v>
      </c>
      <c r="H16" s="465">
        <f>ROUND(H15/12,2)</f>
        <v>17901.830000000002</v>
      </c>
      <c r="I16" s="462">
        <f>I15/12</f>
        <v>16962.083333333332</v>
      </c>
      <c r="J16" s="447">
        <f>ROUND(J15/12,2)</f>
        <v>18233.75</v>
      </c>
      <c r="K16" s="458">
        <f>K15/12</f>
        <v>17175.833333333332</v>
      </c>
      <c r="L16" s="465">
        <f>ROUND(L15/12,2)</f>
        <v>18463.5</v>
      </c>
      <c r="M16" s="470"/>
      <c r="N16" s="448"/>
      <c r="O16" s="450">
        <f>ROUND(O15/12,2)</f>
        <v>16135.1</v>
      </c>
    </row>
    <row r="17" spans="1:15" ht="16" thickBot="1" x14ac:dyDescent="0.25">
      <c r="A17" s="1977"/>
      <c r="B17" s="430" t="s">
        <v>239</v>
      </c>
      <c r="C17" s="459"/>
      <c r="D17" s="219">
        <f>ROUND(D16/160.33,2)</f>
        <v>108.15</v>
      </c>
      <c r="E17" s="463"/>
      <c r="F17" s="219">
        <f t="shared" ref="F17:O17" si="4">ROUND(F16/160.33,2)</f>
        <v>110.22</v>
      </c>
      <c r="G17" s="219">
        <f t="shared" si="4"/>
        <v>103.87</v>
      </c>
      <c r="H17" s="219">
        <f t="shared" si="4"/>
        <v>111.66</v>
      </c>
      <c r="I17" s="219">
        <f t="shared" si="4"/>
        <v>105.79</v>
      </c>
      <c r="J17" s="219">
        <f t="shared" si="4"/>
        <v>113.73</v>
      </c>
      <c r="K17" s="219">
        <f t="shared" si="4"/>
        <v>107.13</v>
      </c>
      <c r="L17" s="219">
        <f t="shared" si="4"/>
        <v>115.16</v>
      </c>
      <c r="M17" s="219">
        <f t="shared" si="4"/>
        <v>0</v>
      </c>
      <c r="N17" s="219">
        <f t="shared" si="4"/>
        <v>0</v>
      </c>
      <c r="O17" s="219">
        <f t="shared" si="4"/>
        <v>100.64</v>
      </c>
    </row>
    <row r="18" spans="1:15" x14ac:dyDescent="0.2">
      <c r="A18" s="1975">
        <v>5</v>
      </c>
      <c r="B18" s="428" t="s">
        <v>97</v>
      </c>
      <c r="C18" s="221">
        <v>196645</v>
      </c>
      <c r="D18" s="214">
        <f>ROUND((C18*(1+'Løntabel gældende fra'!$D$7%)),0)</f>
        <v>211388</v>
      </c>
      <c r="E18" s="222">
        <v>200442</v>
      </c>
      <c r="F18" s="223">
        <f>ROUND((E18*(1+'Løntabel gældende fra'!$D$7%)),0)</f>
        <v>215470</v>
      </c>
      <c r="G18" s="221">
        <v>203072</v>
      </c>
      <c r="H18" s="214">
        <f>ROUND((G18*(1+'Løntabel gældende fra'!$D$7%)),0)</f>
        <v>218297</v>
      </c>
      <c r="I18" s="222">
        <v>206869</v>
      </c>
      <c r="J18" s="223">
        <f>ROUND((I18*(1+'Løntabel gældende fra'!$D$7%)),0)</f>
        <v>222378</v>
      </c>
      <c r="K18" s="221">
        <v>209497</v>
      </c>
      <c r="L18" s="214">
        <f>ROUND((K18*(1+'Løntabel gældende fra'!$D$7%)),0)</f>
        <v>225203</v>
      </c>
      <c r="M18" s="471"/>
      <c r="N18" s="449">
        <v>183001.14</v>
      </c>
      <c r="O18" s="228">
        <f>ROUND(N18*(1+'Løntabel gældende fra'!$D$7%),2)</f>
        <v>196721.1</v>
      </c>
    </row>
    <row r="19" spans="1:15" x14ac:dyDescent="0.2">
      <c r="A19" s="1976"/>
      <c r="B19" s="453" t="s">
        <v>98</v>
      </c>
      <c r="C19" s="458">
        <f>C18/12</f>
        <v>16387.083333333332</v>
      </c>
      <c r="D19" s="465">
        <f>ROUND(D18/12,2)</f>
        <v>17615.669999999998</v>
      </c>
      <c r="E19" s="462">
        <f>E18/12</f>
        <v>16703.5</v>
      </c>
      <c r="F19" s="447">
        <f>ROUND(F18/12,2)</f>
        <v>17955.830000000002</v>
      </c>
      <c r="G19" s="458">
        <f>G18/12</f>
        <v>16922.666666666668</v>
      </c>
      <c r="H19" s="465">
        <f>ROUND(H18/12,2)</f>
        <v>18191.419999999998</v>
      </c>
      <c r="I19" s="462">
        <f>I18/12</f>
        <v>17239.083333333332</v>
      </c>
      <c r="J19" s="447">
        <f>ROUND(J18/12,2)</f>
        <v>18531.5</v>
      </c>
      <c r="K19" s="458">
        <f>K18/12</f>
        <v>17458.083333333332</v>
      </c>
      <c r="L19" s="465">
        <f>ROUND(L18/12,2)</f>
        <v>18766.919999999998</v>
      </c>
      <c r="M19" s="470"/>
      <c r="N19" s="448"/>
      <c r="O19" s="450">
        <f>ROUND(O18/12,2)</f>
        <v>16393.43</v>
      </c>
    </row>
    <row r="20" spans="1:15" ht="16" thickBot="1" x14ac:dyDescent="0.25">
      <c r="A20" s="1977"/>
      <c r="B20" s="430" t="s">
        <v>239</v>
      </c>
      <c r="C20" s="459"/>
      <c r="D20" s="219">
        <f>ROUND(D19/160.33,2)</f>
        <v>109.87</v>
      </c>
      <c r="E20" s="463"/>
      <c r="F20" s="219">
        <f t="shared" ref="F20:O20" si="5">ROUND(F19/160.33,2)</f>
        <v>111.99</v>
      </c>
      <c r="G20" s="219">
        <f t="shared" si="5"/>
        <v>105.55</v>
      </c>
      <c r="H20" s="219">
        <f t="shared" si="5"/>
        <v>113.46</v>
      </c>
      <c r="I20" s="219">
        <f t="shared" si="5"/>
        <v>107.52</v>
      </c>
      <c r="J20" s="219">
        <f t="shared" si="5"/>
        <v>115.58</v>
      </c>
      <c r="K20" s="219">
        <f t="shared" si="5"/>
        <v>108.89</v>
      </c>
      <c r="L20" s="219">
        <f t="shared" si="5"/>
        <v>117.05</v>
      </c>
      <c r="M20" s="219">
        <f t="shared" si="5"/>
        <v>0</v>
      </c>
      <c r="N20" s="219">
        <f t="shared" si="5"/>
        <v>0</v>
      </c>
      <c r="O20" s="219">
        <f t="shared" si="5"/>
        <v>102.25</v>
      </c>
    </row>
    <row r="21" spans="1:15" x14ac:dyDescent="0.2">
      <c r="A21" s="1978">
        <v>6</v>
      </c>
      <c r="B21" s="212" t="s">
        <v>97</v>
      </c>
      <c r="C21" s="213">
        <v>199810</v>
      </c>
      <c r="D21" s="217">
        <f>ROUND((C21*(1+'Løntabel gældende fra'!$D$7%)),0)</f>
        <v>214790</v>
      </c>
      <c r="E21" s="215">
        <v>203700</v>
      </c>
      <c r="F21" s="216">
        <f>ROUND((E21*(1+'Løntabel gældende fra'!$D$7%)),0)</f>
        <v>218972</v>
      </c>
      <c r="G21" s="213">
        <v>206395</v>
      </c>
      <c r="H21" s="217">
        <f>ROUND((G21*(1+'Løntabel gældende fra'!$D$7%)),0)</f>
        <v>221869</v>
      </c>
      <c r="I21" s="215">
        <v>210285</v>
      </c>
      <c r="J21" s="216">
        <f>ROUND((I21*(1+'Løntabel gældende fra'!$D$7%)),0)</f>
        <v>226050</v>
      </c>
      <c r="K21" s="213">
        <v>212978</v>
      </c>
      <c r="L21" s="217">
        <f>ROUND((K21*(1+'Løntabel gældende fra'!$D$7%)),0)</f>
        <v>228945</v>
      </c>
      <c r="M21" s="472"/>
      <c r="N21" s="451">
        <v>185966.06</v>
      </c>
      <c r="O21" s="452">
        <f>ROUND(N21*(1+'Løntabel gældende fra'!$D$7%),2)</f>
        <v>199908.31</v>
      </c>
    </row>
    <row r="22" spans="1:15" x14ac:dyDescent="0.2">
      <c r="A22" s="1976"/>
      <c r="B22" s="453" t="s">
        <v>98</v>
      </c>
      <c r="C22" s="458">
        <f>C21/12</f>
        <v>16650.833333333332</v>
      </c>
      <c r="D22" s="465">
        <f>ROUND(D21/12,2)</f>
        <v>17899.169999999998</v>
      </c>
      <c r="E22" s="462">
        <f>E21/12</f>
        <v>16975</v>
      </c>
      <c r="F22" s="447">
        <f>ROUND(F21/12,2)</f>
        <v>18247.669999999998</v>
      </c>
      <c r="G22" s="458">
        <f>G21/12</f>
        <v>17199.583333333332</v>
      </c>
      <c r="H22" s="465">
        <f>ROUND(H21/12,2)</f>
        <v>18489.080000000002</v>
      </c>
      <c r="I22" s="462">
        <f>I21/12</f>
        <v>17523.75</v>
      </c>
      <c r="J22" s="447">
        <f>ROUND(J21/12,2)</f>
        <v>18837.5</v>
      </c>
      <c r="K22" s="458">
        <f>K21/12</f>
        <v>17748.166666666668</v>
      </c>
      <c r="L22" s="465">
        <f>ROUND(L21/12,2)</f>
        <v>19078.75</v>
      </c>
      <c r="M22" s="470"/>
      <c r="N22" s="448"/>
      <c r="O22" s="450">
        <f>ROUND(O21/12,2)</f>
        <v>16659.03</v>
      </c>
    </row>
    <row r="23" spans="1:15" ht="16" thickBot="1" x14ac:dyDescent="0.25">
      <c r="A23" s="1979"/>
      <c r="B23" s="454" t="s">
        <v>239</v>
      </c>
      <c r="C23" s="460"/>
      <c r="D23" s="466">
        <f>ROUND(D22/160.33,2)</f>
        <v>111.64</v>
      </c>
      <c r="E23" s="464"/>
      <c r="F23" s="466">
        <f t="shared" ref="F23:O23" si="6">ROUND(F22/160.33,2)</f>
        <v>113.81</v>
      </c>
      <c r="G23" s="466">
        <f t="shared" si="6"/>
        <v>107.28</v>
      </c>
      <c r="H23" s="466">
        <f t="shared" si="6"/>
        <v>115.32</v>
      </c>
      <c r="I23" s="466">
        <f t="shared" si="6"/>
        <v>109.3</v>
      </c>
      <c r="J23" s="466">
        <f t="shared" si="6"/>
        <v>117.49</v>
      </c>
      <c r="K23" s="466">
        <f t="shared" si="6"/>
        <v>110.7</v>
      </c>
      <c r="L23" s="466">
        <f t="shared" si="6"/>
        <v>119</v>
      </c>
      <c r="M23" s="466">
        <f t="shared" si="6"/>
        <v>0</v>
      </c>
      <c r="N23" s="466">
        <f t="shared" si="6"/>
        <v>0</v>
      </c>
      <c r="O23" s="466">
        <f t="shared" si="6"/>
        <v>103.9</v>
      </c>
    </row>
    <row r="24" spans="1:15" x14ac:dyDescent="0.2">
      <c r="A24" s="1975">
        <v>7</v>
      </c>
      <c r="B24" s="428" t="s">
        <v>97</v>
      </c>
      <c r="C24" s="221">
        <v>203058</v>
      </c>
      <c r="D24" s="214">
        <f>ROUND((C24*(1+'Løntabel gældende fra'!$D$7%)),0)</f>
        <v>218282</v>
      </c>
      <c r="E24" s="222">
        <v>207045</v>
      </c>
      <c r="F24" s="223">
        <f>ROUND((E24*(1+'Løntabel gældende fra'!$D$7%)),0)</f>
        <v>222568</v>
      </c>
      <c r="G24" s="221">
        <v>209805</v>
      </c>
      <c r="H24" s="214">
        <f>ROUND((G24*(1+'Løntabel gældende fra'!$D$7%)),0)</f>
        <v>225535</v>
      </c>
      <c r="I24" s="222">
        <v>213792</v>
      </c>
      <c r="J24" s="223">
        <f>ROUND((I24*(1+'Løntabel gældende fra'!$D$7%)),0)</f>
        <v>229820</v>
      </c>
      <c r="K24" s="221">
        <v>216551</v>
      </c>
      <c r="L24" s="214">
        <f>ROUND((K24*(1+'Løntabel gældende fra'!$D$7%)),0)</f>
        <v>232786</v>
      </c>
      <c r="M24" s="471"/>
      <c r="N24" s="449">
        <v>189010.4</v>
      </c>
      <c r="O24" s="228">
        <f>ROUND(N24*(1+'Løntabel gældende fra'!$D$7%),2)</f>
        <v>203180.89</v>
      </c>
    </row>
    <row r="25" spans="1:15" x14ac:dyDescent="0.2">
      <c r="A25" s="1976"/>
      <c r="B25" s="453" t="s">
        <v>98</v>
      </c>
      <c r="C25" s="458"/>
      <c r="D25" s="465">
        <f>ROUND(D24/12,2)</f>
        <v>18190.169999999998</v>
      </c>
      <c r="E25" s="462">
        <f>E24/12</f>
        <v>17253.75</v>
      </c>
      <c r="F25" s="447">
        <f>ROUND(F24/12,2)</f>
        <v>18547.330000000002</v>
      </c>
      <c r="G25" s="458">
        <f>G24/12</f>
        <v>17483.75</v>
      </c>
      <c r="H25" s="465">
        <f>ROUND(H24/12,2)</f>
        <v>18794.580000000002</v>
      </c>
      <c r="I25" s="462">
        <f>I24/12</f>
        <v>17816</v>
      </c>
      <c r="J25" s="447">
        <f>ROUND(J24/12,2)</f>
        <v>19151.669999999998</v>
      </c>
      <c r="K25" s="458">
        <f>K24/12</f>
        <v>18045.916666666668</v>
      </c>
      <c r="L25" s="465">
        <f>ROUND(L24/12,2)</f>
        <v>19398.830000000002</v>
      </c>
      <c r="M25" s="470"/>
      <c r="N25" s="448"/>
      <c r="O25" s="450">
        <f>ROUND(O24/12,2)</f>
        <v>16931.740000000002</v>
      </c>
    </row>
    <row r="26" spans="1:15" ht="16" thickBot="1" x14ac:dyDescent="0.25">
      <c r="A26" s="1977"/>
      <c r="B26" s="430" t="s">
        <v>239</v>
      </c>
      <c r="C26" s="218">
        <f>C24/12</f>
        <v>16921.5</v>
      </c>
      <c r="D26" s="219">
        <f>ROUND(D25/160.33,2)</f>
        <v>113.45</v>
      </c>
      <c r="E26" s="463"/>
      <c r="F26" s="219">
        <f t="shared" ref="F26:O26" si="7">ROUND(F25/160.33,2)</f>
        <v>115.68</v>
      </c>
      <c r="G26" s="219">
        <f t="shared" si="7"/>
        <v>109.05</v>
      </c>
      <c r="H26" s="219">
        <f t="shared" si="7"/>
        <v>117.22</v>
      </c>
      <c r="I26" s="219">
        <f t="shared" si="7"/>
        <v>111.12</v>
      </c>
      <c r="J26" s="219">
        <f t="shared" si="7"/>
        <v>119.45</v>
      </c>
      <c r="K26" s="219">
        <f t="shared" si="7"/>
        <v>112.55</v>
      </c>
      <c r="L26" s="219">
        <f t="shared" si="7"/>
        <v>120.99</v>
      </c>
      <c r="M26" s="219">
        <f t="shared" si="7"/>
        <v>0</v>
      </c>
      <c r="N26" s="219">
        <f t="shared" si="7"/>
        <v>0</v>
      </c>
      <c r="O26" s="219">
        <f t="shared" si="7"/>
        <v>105.61</v>
      </c>
    </row>
    <row r="27" spans="1:15" x14ac:dyDescent="0.2">
      <c r="A27" s="1978">
        <v>8</v>
      </c>
      <c r="B27" s="212" t="s">
        <v>97</v>
      </c>
      <c r="C27" s="213">
        <v>206396</v>
      </c>
      <c r="D27" s="217">
        <f>ROUND((C27*(1+'Løntabel gældende fra'!$D$7%)),0)</f>
        <v>221870</v>
      </c>
      <c r="E27" s="215">
        <v>210482</v>
      </c>
      <c r="F27" s="216">
        <f>ROUND((E27*(1+'Løntabel gældende fra'!$D$7%)),0)</f>
        <v>226262</v>
      </c>
      <c r="G27" s="213">
        <v>213311</v>
      </c>
      <c r="H27" s="217">
        <f>ROUND((G27*(1+'Løntabel gældende fra'!$D$7%)),0)</f>
        <v>229303</v>
      </c>
      <c r="I27" s="215">
        <v>217397</v>
      </c>
      <c r="J27" s="216">
        <f>ROUND((I27*(1+'Løntabel gældende fra'!$D$7%)),0)</f>
        <v>233696</v>
      </c>
      <c r="K27" s="213">
        <v>220226</v>
      </c>
      <c r="L27" s="217">
        <f>ROUND((K27*(1+'Løntabel gældende fra'!$D$7%)),0)</f>
        <v>236737</v>
      </c>
      <c r="M27" s="472"/>
      <c r="N27" s="451">
        <v>192139.54</v>
      </c>
      <c r="O27" s="452">
        <f>ROUND(N27*(1+'Løntabel gældende fra'!$D$7%),2)</f>
        <v>206544.63</v>
      </c>
    </row>
    <row r="28" spans="1:15" x14ac:dyDescent="0.2">
      <c r="A28" s="1976"/>
      <c r="B28" s="453" t="s">
        <v>98</v>
      </c>
      <c r="C28" s="458"/>
      <c r="D28" s="465">
        <f>ROUND(D27/12,2)</f>
        <v>18489.169999999998</v>
      </c>
      <c r="E28" s="462">
        <f>E27/12</f>
        <v>17540.166666666668</v>
      </c>
      <c r="F28" s="447">
        <f>ROUND(F27/12,2)</f>
        <v>18855.169999999998</v>
      </c>
      <c r="G28" s="458">
        <f>G27/12</f>
        <v>17775.916666666668</v>
      </c>
      <c r="H28" s="465">
        <f>ROUND(H27/12,2)</f>
        <v>19108.580000000002</v>
      </c>
      <c r="I28" s="462">
        <f>I27/12</f>
        <v>18116.416666666668</v>
      </c>
      <c r="J28" s="447">
        <f>ROUND(J27/12,2)</f>
        <v>19474.669999999998</v>
      </c>
      <c r="K28" s="458">
        <f>K27/12</f>
        <v>18352.166666666668</v>
      </c>
      <c r="L28" s="465">
        <f>ROUND(L27/12,2)</f>
        <v>19728.080000000002</v>
      </c>
      <c r="M28" s="470"/>
      <c r="N28" s="448"/>
      <c r="O28" s="450">
        <f>ROUND(O27/12,2)</f>
        <v>17212.05</v>
      </c>
    </row>
    <row r="29" spans="1:15" ht="16" thickBot="1" x14ac:dyDescent="0.25">
      <c r="A29" s="1979"/>
      <c r="B29" s="454" t="s">
        <v>239</v>
      </c>
      <c r="C29" s="461">
        <f>C27/12</f>
        <v>17199.666666666668</v>
      </c>
      <c r="D29" s="466">
        <f>ROUND(D28/160.33,2)</f>
        <v>115.32</v>
      </c>
      <c r="E29" s="464"/>
      <c r="F29" s="466">
        <f t="shared" ref="F29:O29" si="8">ROUND(F28/160.33,2)</f>
        <v>117.6</v>
      </c>
      <c r="G29" s="466">
        <f t="shared" si="8"/>
        <v>110.87</v>
      </c>
      <c r="H29" s="466">
        <f t="shared" si="8"/>
        <v>119.18</v>
      </c>
      <c r="I29" s="466">
        <f t="shared" si="8"/>
        <v>112.99</v>
      </c>
      <c r="J29" s="466">
        <f t="shared" si="8"/>
        <v>121.47</v>
      </c>
      <c r="K29" s="466">
        <f t="shared" si="8"/>
        <v>114.46</v>
      </c>
      <c r="L29" s="466">
        <f t="shared" si="8"/>
        <v>123.05</v>
      </c>
      <c r="M29" s="466">
        <f t="shared" si="8"/>
        <v>0</v>
      </c>
      <c r="N29" s="466">
        <f t="shared" si="8"/>
        <v>0</v>
      </c>
      <c r="O29" s="466">
        <f t="shared" si="8"/>
        <v>107.35</v>
      </c>
    </row>
    <row r="30" spans="1:15" x14ac:dyDescent="0.2">
      <c r="A30" s="1975">
        <v>9</v>
      </c>
      <c r="B30" s="428" t="s">
        <v>97</v>
      </c>
      <c r="C30" s="221">
        <v>209829</v>
      </c>
      <c r="D30" s="214">
        <f>ROUND((C30*(1+'Løntabel gældende fra'!$D$7%)),0)</f>
        <v>225560</v>
      </c>
      <c r="E30" s="222">
        <v>214015</v>
      </c>
      <c r="F30" s="223">
        <f>ROUND((E30*(1+'Løntabel gældende fra'!$D$7%)),0)</f>
        <v>230060</v>
      </c>
      <c r="G30" s="221">
        <v>216916</v>
      </c>
      <c r="H30" s="214">
        <f>ROUND((G30*(1+'Løntabel gældende fra'!$D$7%)),0)</f>
        <v>233179</v>
      </c>
      <c r="I30" s="222">
        <v>221102</v>
      </c>
      <c r="J30" s="223">
        <f>ROUND((I30*(1+'Løntabel gældende fra'!$D$7%)),0)</f>
        <v>237678</v>
      </c>
      <c r="K30" s="221">
        <v>224002</v>
      </c>
      <c r="L30" s="214">
        <f>ROUND((K30*(1+'Løntabel gældende fra'!$D$7%)),0)</f>
        <v>240796</v>
      </c>
      <c r="M30" s="471"/>
      <c r="N30" s="449">
        <v>195355.31</v>
      </c>
      <c r="O30" s="228">
        <f>ROUND(N30*(1+'Løntabel gældende fra'!$D$7%),2)</f>
        <v>210001.49</v>
      </c>
    </row>
    <row r="31" spans="1:15" x14ac:dyDescent="0.2">
      <c r="A31" s="1976"/>
      <c r="B31" s="453" t="s">
        <v>246</v>
      </c>
      <c r="C31" s="458"/>
      <c r="D31" s="465">
        <f>ROUND(D30/12,2)</f>
        <v>18796.669999999998</v>
      </c>
      <c r="E31" s="462">
        <f>E30/12</f>
        <v>17834.583333333332</v>
      </c>
      <c r="F31" s="447">
        <f>ROUND(F30/12,2)</f>
        <v>19171.669999999998</v>
      </c>
      <c r="G31" s="458">
        <f>G30/12</f>
        <v>18076.333333333332</v>
      </c>
      <c r="H31" s="465">
        <f>ROUND(H30/12,2)</f>
        <v>19431.580000000002</v>
      </c>
      <c r="I31" s="462">
        <f>I30/12</f>
        <v>18425.166666666668</v>
      </c>
      <c r="J31" s="447">
        <f>ROUND(J30/12,2)</f>
        <v>19806.5</v>
      </c>
      <c r="K31" s="458">
        <f>K30/12</f>
        <v>18666.833333333332</v>
      </c>
      <c r="L31" s="465">
        <f>ROUND(L30/12,2)</f>
        <v>20066.330000000002</v>
      </c>
      <c r="M31" s="470"/>
      <c r="N31" s="448"/>
      <c r="O31" s="450">
        <f>ROUND(O30/12,2)</f>
        <v>17500.12</v>
      </c>
    </row>
    <row r="32" spans="1:15" ht="16" thickBot="1" x14ac:dyDescent="0.25">
      <c r="A32" s="1977"/>
      <c r="B32" s="430" t="s">
        <v>239</v>
      </c>
      <c r="C32" s="218">
        <f>C30/12</f>
        <v>17485.75</v>
      </c>
      <c r="D32" s="219">
        <f>ROUND(D31/160.33,2)</f>
        <v>117.24</v>
      </c>
      <c r="E32" s="463"/>
      <c r="F32" s="219">
        <f t="shared" ref="F32:O32" si="9">ROUND(F31/160.33,2)</f>
        <v>119.58</v>
      </c>
      <c r="G32" s="219">
        <f t="shared" si="9"/>
        <v>112.74</v>
      </c>
      <c r="H32" s="219">
        <f t="shared" si="9"/>
        <v>121.2</v>
      </c>
      <c r="I32" s="219">
        <f t="shared" si="9"/>
        <v>114.92</v>
      </c>
      <c r="J32" s="219">
        <f t="shared" si="9"/>
        <v>123.54</v>
      </c>
      <c r="K32" s="219">
        <f t="shared" si="9"/>
        <v>116.43</v>
      </c>
      <c r="L32" s="219">
        <f t="shared" si="9"/>
        <v>125.16</v>
      </c>
      <c r="M32" s="219">
        <f t="shared" si="9"/>
        <v>0</v>
      </c>
      <c r="N32" s="219">
        <f t="shared" si="9"/>
        <v>0</v>
      </c>
      <c r="O32" s="219">
        <f t="shared" si="9"/>
        <v>109.15</v>
      </c>
    </row>
    <row r="33" spans="1:15" x14ac:dyDescent="0.2">
      <c r="A33" s="1978">
        <v>10</v>
      </c>
      <c r="B33" s="212" t="s">
        <v>97</v>
      </c>
      <c r="C33" s="213">
        <v>213353</v>
      </c>
      <c r="D33" s="217">
        <f>ROUND((C33*(1+'Løntabel gældende fra'!$D$7%)),0)</f>
        <v>229349</v>
      </c>
      <c r="E33" s="215">
        <v>217646</v>
      </c>
      <c r="F33" s="216">
        <f>ROUND((E33*(1+'Løntabel gældende fra'!$D$7%)),0)</f>
        <v>233963</v>
      </c>
      <c r="G33" s="213">
        <v>220617</v>
      </c>
      <c r="H33" s="217">
        <f>ROUND((G33*(1+'Løntabel gældende fra'!$D$7%)),0)</f>
        <v>237157</v>
      </c>
      <c r="I33" s="215">
        <v>224909</v>
      </c>
      <c r="J33" s="216">
        <f>ROUND((I33*(1+'Løntabel gældende fra'!$D$7%)),0)</f>
        <v>241771</v>
      </c>
      <c r="K33" s="213">
        <v>227882</v>
      </c>
      <c r="L33" s="217">
        <f>ROUND((K33*(1+'Løntabel gældende fra'!$D$7%)),0)</f>
        <v>244967</v>
      </c>
      <c r="M33" s="472"/>
      <c r="N33" s="451">
        <v>198659.5</v>
      </c>
      <c r="O33" s="452">
        <f>ROUND(N33*(1+'Løntabel gældende fra'!$D$7%),2)</f>
        <v>213553.4</v>
      </c>
    </row>
    <row r="34" spans="1:15" x14ac:dyDescent="0.2">
      <c r="A34" s="1976"/>
      <c r="B34" s="453" t="s">
        <v>98</v>
      </c>
      <c r="C34" s="458"/>
      <c r="D34" s="465">
        <f>ROUND(D33/12,2)</f>
        <v>19112.419999999998</v>
      </c>
      <c r="E34" s="462">
        <f>E33/12</f>
        <v>18137.166666666668</v>
      </c>
      <c r="F34" s="447">
        <f>ROUND(F33/12,2)</f>
        <v>19496.919999999998</v>
      </c>
      <c r="G34" s="458">
        <f>G33/12</f>
        <v>18384.75</v>
      </c>
      <c r="H34" s="465">
        <f>ROUND(H33/12,2)</f>
        <v>19763.080000000002</v>
      </c>
      <c r="I34" s="462">
        <f>I33/12</f>
        <v>18742.416666666668</v>
      </c>
      <c r="J34" s="447">
        <f>ROUND(J33/12,2)</f>
        <v>20147.580000000002</v>
      </c>
      <c r="K34" s="458">
        <f>K33/12</f>
        <v>18990.166666666668</v>
      </c>
      <c r="L34" s="465">
        <f>ROUND(L33/12,2)</f>
        <v>20413.919999999998</v>
      </c>
      <c r="M34" s="470"/>
      <c r="N34" s="448"/>
      <c r="O34" s="450">
        <f>ROUND(O33/12,2)</f>
        <v>17796.12</v>
      </c>
    </row>
    <row r="35" spans="1:15" ht="16" thickBot="1" x14ac:dyDescent="0.25">
      <c r="A35" s="1979"/>
      <c r="B35" s="454" t="s">
        <v>239</v>
      </c>
      <c r="C35" s="461">
        <f>C33/12</f>
        <v>17779.416666666668</v>
      </c>
      <c r="D35" s="466">
        <f>ROUND(D34/160.33,2)</f>
        <v>119.21</v>
      </c>
      <c r="E35" s="464"/>
      <c r="F35" s="466">
        <f t="shared" ref="F35:O35" si="10">ROUND(F34/160.33,2)</f>
        <v>121.6</v>
      </c>
      <c r="G35" s="466">
        <f t="shared" si="10"/>
        <v>114.67</v>
      </c>
      <c r="H35" s="466">
        <f t="shared" si="10"/>
        <v>123.27</v>
      </c>
      <c r="I35" s="466">
        <f t="shared" si="10"/>
        <v>116.9</v>
      </c>
      <c r="J35" s="466">
        <f t="shared" si="10"/>
        <v>125.66</v>
      </c>
      <c r="K35" s="466">
        <f t="shared" si="10"/>
        <v>118.44</v>
      </c>
      <c r="L35" s="466">
        <f t="shared" si="10"/>
        <v>127.32</v>
      </c>
      <c r="M35" s="466">
        <f t="shared" si="10"/>
        <v>0</v>
      </c>
      <c r="N35" s="466">
        <f t="shared" si="10"/>
        <v>0</v>
      </c>
      <c r="O35" s="466">
        <f t="shared" si="10"/>
        <v>111</v>
      </c>
    </row>
    <row r="36" spans="1:15" x14ac:dyDescent="0.2">
      <c r="A36" s="1975">
        <v>11</v>
      </c>
      <c r="B36" s="428" t="s">
        <v>97</v>
      </c>
      <c r="C36" s="221">
        <v>216134</v>
      </c>
      <c r="D36" s="214">
        <f>ROUND((C36*(1+'Løntabel gældende fra'!$D$7%)),0)</f>
        <v>232338</v>
      </c>
      <c r="E36" s="222">
        <v>220533</v>
      </c>
      <c r="F36" s="223">
        <f>ROUND((E36*(1+'Løntabel gældende fra'!$D$7%)),0)</f>
        <v>237067</v>
      </c>
      <c r="G36" s="221">
        <v>223579</v>
      </c>
      <c r="H36" s="214">
        <f>ROUND((G36*(1+'Løntabel gældende fra'!$D$7%)),0)</f>
        <v>240341</v>
      </c>
      <c r="I36" s="222">
        <v>227978</v>
      </c>
      <c r="J36" s="223">
        <f>ROUND((I36*(1+'Løntabel gældende fra'!$D$7%)),0)</f>
        <v>245070</v>
      </c>
      <c r="K36" s="221">
        <v>231023</v>
      </c>
      <c r="L36" s="214">
        <f>ROUND((K36*(1+'Løntabel gældende fra'!$D$7%)),0)</f>
        <v>248343</v>
      </c>
      <c r="M36" s="471"/>
      <c r="N36" s="449">
        <v>202053.93</v>
      </c>
      <c r="O36" s="228">
        <f>ROUND(N36*(1+'Løntabel gældende fra'!$D$7%),2)</f>
        <v>217202.32</v>
      </c>
    </row>
    <row r="37" spans="1:15" x14ac:dyDescent="0.2">
      <c r="A37" s="1976"/>
      <c r="B37" s="453" t="s">
        <v>246</v>
      </c>
      <c r="C37" s="458"/>
      <c r="D37" s="465">
        <f>ROUND(D36/12,2)</f>
        <v>19361.5</v>
      </c>
      <c r="E37" s="462">
        <f>E36/12</f>
        <v>18377.75</v>
      </c>
      <c r="F37" s="447">
        <f>ROUND(F36/12,2)</f>
        <v>19755.580000000002</v>
      </c>
      <c r="G37" s="458">
        <f>G36/12</f>
        <v>18631.583333333332</v>
      </c>
      <c r="H37" s="465">
        <f>ROUND(H36/12,2)</f>
        <v>20028.419999999998</v>
      </c>
      <c r="I37" s="462">
        <f>I36/12</f>
        <v>18998.166666666668</v>
      </c>
      <c r="J37" s="447">
        <f>ROUND(J36/12,2)</f>
        <v>20422.5</v>
      </c>
      <c r="K37" s="458">
        <f>K36/12</f>
        <v>19251.916666666668</v>
      </c>
      <c r="L37" s="465">
        <f>ROUND(L36/12,2)</f>
        <v>20695.25</v>
      </c>
      <c r="M37" s="470"/>
      <c r="N37" s="448"/>
      <c r="O37" s="450">
        <f>ROUND(O36/12,2)</f>
        <v>18100.189999999999</v>
      </c>
    </row>
    <row r="38" spans="1:15" ht="16" thickBot="1" x14ac:dyDescent="0.25">
      <c r="A38" s="1977"/>
      <c r="B38" s="430" t="s">
        <v>239</v>
      </c>
      <c r="C38" s="218">
        <f>C36/12</f>
        <v>18011.166666666668</v>
      </c>
      <c r="D38" s="219">
        <f>ROUND(D37/160.33,2)</f>
        <v>120.76</v>
      </c>
      <c r="E38" s="463"/>
      <c r="F38" s="219">
        <f t="shared" ref="F38:O38" si="11">ROUND(F37/160.33,2)</f>
        <v>123.22</v>
      </c>
      <c r="G38" s="219">
        <f t="shared" si="11"/>
        <v>116.21</v>
      </c>
      <c r="H38" s="219">
        <f t="shared" si="11"/>
        <v>124.92</v>
      </c>
      <c r="I38" s="219">
        <f t="shared" si="11"/>
        <v>118.49</v>
      </c>
      <c r="J38" s="219">
        <f t="shared" si="11"/>
        <v>127.38</v>
      </c>
      <c r="K38" s="219">
        <f t="shared" si="11"/>
        <v>120.08</v>
      </c>
      <c r="L38" s="219">
        <f t="shared" si="11"/>
        <v>129.08000000000001</v>
      </c>
      <c r="M38" s="219">
        <f t="shared" si="11"/>
        <v>0</v>
      </c>
      <c r="N38" s="219">
        <f t="shared" si="11"/>
        <v>0</v>
      </c>
      <c r="O38" s="219">
        <f t="shared" si="11"/>
        <v>112.89</v>
      </c>
    </row>
    <row r="39" spans="1:15" x14ac:dyDescent="0.2">
      <c r="A39" s="1978">
        <v>12</v>
      </c>
      <c r="B39" s="212" t="s">
        <v>97</v>
      </c>
      <c r="C39" s="213">
        <v>219855</v>
      </c>
      <c r="D39" s="217">
        <f>ROUND((C39*(1+'Løntabel gældende fra'!$D$7%)),0)</f>
        <v>236338</v>
      </c>
      <c r="E39" s="215">
        <v>224365</v>
      </c>
      <c r="F39" s="216">
        <f>ROUND((E39*(1+'Løntabel gældende fra'!$D$7%)),0)</f>
        <v>241186</v>
      </c>
      <c r="G39" s="213">
        <v>227489</v>
      </c>
      <c r="H39" s="217">
        <f>ROUND((G39*(1+'Løntabel gældende fra'!$D$7%)),0)</f>
        <v>244544</v>
      </c>
      <c r="I39" s="215">
        <v>231997</v>
      </c>
      <c r="J39" s="216">
        <f>ROUND((I39*(1+'Løntabel gældende fra'!$D$7%)),0)</f>
        <v>249390</v>
      </c>
      <c r="K39" s="213">
        <v>235119</v>
      </c>
      <c r="L39" s="217">
        <f>ROUND((K39*(1+'Løntabel gældende fra'!$D$7%)),0)</f>
        <v>252746</v>
      </c>
      <c r="M39" s="472"/>
      <c r="N39" s="451">
        <v>205542.18</v>
      </c>
      <c r="O39" s="452">
        <f>ROUND(N39*(1+'Løntabel gældende fra'!$D$7%),2)</f>
        <v>220952.09</v>
      </c>
    </row>
    <row r="40" spans="1:15" x14ac:dyDescent="0.2">
      <c r="A40" s="1976"/>
      <c r="B40" s="453" t="s">
        <v>98</v>
      </c>
      <c r="C40" s="458"/>
      <c r="D40" s="465">
        <f>ROUND(D39/12,2)</f>
        <v>19694.830000000002</v>
      </c>
      <c r="E40" s="462">
        <f>E39/12</f>
        <v>18697.083333333332</v>
      </c>
      <c r="F40" s="447">
        <f>ROUND(F39/12,2)</f>
        <v>20098.830000000002</v>
      </c>
      <c r="G40" s="458">
        <f>G39/12</f>
        <v>18957.416666666668</v>
      </c>
      <c r="H40" s="465">
        <f>ROUND(H39/12,2)</f>
        <v>20378.669999999998</v>
      </c>
      <c r="I40" s="462">
        <f>I39/12</f>
        <v>19333.083333333332</v>
      </c>
      <c r="J40" s="447">
        <f>ROUND(J39/12,2)</f>
        <v>20782.5</v>
      </c>
      <c r="K40" s="458">
        <f>K39/12</f>
        <v>19593.25</v>
      </c>
      <c r="L40" s="465">
        <f>ROUND(L39/12,2)</f>
        <v>21062.17</v>
      </c>
      <c r="M40" s="470"/>
      <c r="N40" s="448"/>
      <c r="O40" s="450">
        <f>ROUND(O39/12,2)</f>
        <v>18412.669999999998</v>
      </c>
    </row>
    <row r="41" spans="1:15" ht="16" thickBot="1" x14ac:dyDescent="0.25">
      <c r="A41" s="1979"/>
      <c r="B41" s="454" t="s">
        <v>239</v>
      </c>
      <c r="C41" s="461">
        <f>C39/12</f>
        <v>18321.25</v>
      </c>
      <c r="D41" s="466">
        <f>ROUND(D40/160.33,2)</f>
        <v>122.84</v>
      </c>
      <c r="E41" s="466">
        <f t="shared" ref="E41:O41" si="12">ROUND(E40/160.33,2)</f>
        <v>116.62</v>
      </c>
      <c r="F41" s="466">
        <f t="shared" si="12"/>
        <v>125.36</v>
      </c>
      <c r="G41" s="466">
        <f t="shared" si="12"/>
        <v>118.24</v>
      </c>
      <c r="H41" s="466">
        <f t="shared" si="12"/>
        <v>127.1</v>
      </c>
      <c r="I41" s="466">
        <f t="shared" si="12"/>
        <v>120.58</v>
      </c>
      <c r="J41" s="466">
        <f t="shared" si="12"/>
        <v>129.62</v>
      </c>
      <c r="K41" s="466">
        <f t="shared" si="12"/>
        <v>122.21</v>
      </c>
      <c r="L41" s="466">
        <f t="shared" si="12"/>
        <v>131.37</v>
      </c>
      <c r="M41" s="466">
        <f t="shared" si="12"/>
        <v>0</v>
      </c>
      <c r="N41" s="466">
        <f t="shared" si="12"/>
        <v>0</v>
      </c>
      <c r="O41" s="466">
        <f t="shared" si="12"/>
        <v>114.84</v>
      </c>
    </row>
    <row r="42" spans="1:15" x14ac:dyDescent="0.2">
      <c r="A42" s="1975">
        <v>13</v>
      </c>
      <c r="B42" s="428" t="s">
        <v>97</v>
      </c>
      <c r="C42" s="221">
        <v>223681</v>
      </c>
      <c r="D42" s="214">
        <f>ROUND((C42*(1+'Løntabel gældende fra'!$D$7%)),0)</f>
        <v>240451</v>
      </c>
      <c r="E42" s="222">
        <v>228304</v>
      </c>
      <c r="F42" s="223">
        <f>ROUND((E42*(1+'Løntabel gældende fra'!$D$7%)),0)</f>
        <v>245420</v>
      </c>
      <c r="G42" s="221">
        <v>231504</v>
      </c>
      <c r="H42" s="214">
        <f>ROUND((G42*(1+'Løntabel gældende fra'!$D$7%)),0)</f>
        <v>248860</v>
      </c>
      <c r="I42" s="222">
        <v>236129</v>
      </c>
      <c r="J42" s="223">
        <f>ROUND((I42*(1+'Løntabel gældende fra'!$D$7%)),0)</f>
        <v>253832</v>
      </c>
      <c r="K42" s="221">
        <v>239328</v>
      </c>
      <c r="L42" s="214">
        <f>ROUND((K42*(1+'Løntabel gældende fra'!$D$7%)),0)</f>
        <v>257271</v>
      </c>
      <c r="M42" s="471"/>
      <c r="N42" s="449">
        <v>209126.09</v>
      </c>
      <c r="O42" s="228">
        <f>ROUND(N42*(1+'Løntabel gældende fra'!$D$7%),2)</f>
        <v>224804.69</v>
      </c>
    </row>
    <row r="43" spans="1:15" x14ac:dyDescent="0.2">
      <c r="A43" s="1976"/>
      <c r="B43" s="453" t="s">
        <v>246</v>
      </c>
      <c r="C43" s="458"/>
      <c r="D43" s="465">
        <f>ROUND(D42/12,2)</f>
        <v>20037.580000000002</v>
      </c>
      <c r="E43" s="462">
        <f>E42/12</f>
        <v>19025.333333333332</v>
      </c>
      <c r="F43" s="447">
        <f>ROUND(F42/12,2)</f>
        <v>20451.669999999998</v>
      </c>
      <c r="G43" s="458">
        <f>G42/12</f>
        <v>19292</v>
      </c>
      <c r="H43" s="465">
        <f>ROUND(H42/12,2)</f>
        <v>20738.330000000002</v>
      </c>
      <c r="I43" s="462">
        <f>I42/12</f>
        <v>19677.416666666668</v>
      </c>
      <c r="J43" s="447">
        <f>ROUND(J42/12,2)</f>
        <v>21152.67</v>
      </c>
      <c r="K43" s="458">
        <f>K42/12</f>
        <v>19944</v>
      </c>
      <c r="L43" s="465">
        <f>ROUND(L42/12,2)</f>
        <v>21439.25</v>
      </c>
      <c r="M43" s="470"/>
      <c r="N43" s="448"/>
      <c r="O43" s="450">
        <f>ROUND(O42/12,2)</f>
        <v>18733.72</v>
      </c>
    </row>
    <row r="44" spans="1:15" ht="16" thickBot="1" x14ac:dyDescent="0.25">
      <c r="A44" s="1977"/>
      <c r="B44" s="430" t="s">
        <v>239</v>
      </c>
      <c r="C44" s="218">
        <f>C42/12</f>
        <v>18640.083333333332</v>
      </c>
      <c r="D44" s="219">
        <f>ROUND(D43/160.33,2)</f>
        <v>124.98</v>
      </c>
      <c r="E44" s="463"/>
      <c r="F44" s="219">
        <f t="shared" ref="F44:O44" si="13">ROUND(F43/160.33,2)</f>
        <v>127.56</v>
      </c>
      <c r="G44" s="219">
        <f t="shared" si="13"/>
        <v>120.33</v>
      </c>
      <c r="H44" s="219">
        <f t="shared" si="13"/>
        <v>129.35</v>
      </c>
      <c r="I44" s="219">
        <f t="shared" si="13"/>
        <v>122.73</v>
      </c>
      <c r="J44" s="219">
        <f t="shared" si="13"/>
        <v>131.93</v>
      </c>
      <c r="K44" s="219">
        <f t="shared" si="13"/>
        <v>124.39</v>
      </c>
      <c r="L44" s="219">
        <f t="shared" si="13"/>
        <v>133.72</v>
      </c>
      <c r="M44" s="219">
        <f t="shared" si="13"/>
        <v>0</v>
      </c>
      <c r="N44" s="219">
        <f t="shared" si="13"/>
        <v>0</v>
      </c>
      <c r="O44" s="219">
        <f t="shared" si="13"/>
        <v>116.84</v>
      </c>
    </row>
    <row r="45" spans="1:15" x14ac:dyDescent="0.2">
      <c r="A45" s="1975">
        <v>14</v>
      </c>
      <c r="B45" s="428" t="s">
        <v>97</v>
      </c>
      <c r="C45" s="221">
        <v>227611</v>
      </c>
      <c r="D45" s="214">
        <f>ROUND((C45*(1+'Løntabel gældende fra'!$D$7%)),0)</f>
        <v>244675</v>
      </c>
      <c r="E45" s="222">
        <v>232351</v>
      </c>
      <c r="F45" s="223">
        <f>ROUND((E45*(1+'Løntabel gældende fra'!$D$7%)),0)</f>
        <v>249771</v>
      </c>
      <c r="G45" s="221">
        <v>235632</v>
      </c>
      <c r="H45" s="214">
        <f>ROUND((G45*(1+'Løntabel gældende fra'!$D$7%)),0)</f>
        <v>253298</v>
      </c>
      <c r="I45" s="222">
        <v>240371</v>
      </c>
      <c r="J45" s="223">
        <f>ROUND((I45*(1+'Løntabel gældende fra'!$D$7%)),0)</f>
        <v>258392</v>
      </c>
      <c r="K45" s="221">
        <v>243652</v>
      </c>
      <c r="L45" s="214">
        <f>ROUND((K45*(1+'Løntabel gældende fra'!$D$7%)),0)</f>
        <v>261919</v>
      </c>
      <c r="M45" s="471"/>
      <c r="N45" s="449">
        <v>212809.24</v>
      </c>
      <c r="O45" s="228">
        <f>ROUND(N45*(1+'Løntabel gældende fra'!$D$7%),2)</f>
        <v>228763.97</v>
      </c>
    </row>
    <row r="46" spans="1:15" x14ac:dyDescent="0.2">
      <c r="A46" s="1976"/>
      <c r="B46" s="453" t="s">
        <v>246</v>
      </c>
      <c r="C46" s="458"/>
      <c r="D46" s="465">
        <f>ROUND(D45/12,2)</f>
        <v>20389.580000000002</v>
      </c>
      <c r="E46" s="462">
        <f>E45/12</f>
        <v>19362.583333333332</v>
      </c>
      <c r="F46" s="447">
        <f>ROUND(F45/12,2)</f>
        <v>20814.25</v>
      </c>
      <c r="G46" s="458">
        <f>G45/12</f>
        <v>19636</v>
      </c>
      <c r="H46" s="465">
        <f>ROUND(H45/12,2)</f>
        <v>21108.17</v>
      </c>
      <c r="I46" s="462">
        <f>I45/12</f>
        <v>20030.916666666668</v>
      </c>
      <c r="J46" s="447">
        <f>ROUND(J45/12,2)</f>
        <v>21532.67</v>
      </c>
      <c r="K46" s="458">
        <f>K45/12</f>
        <v>20304.333333333332</v>
      </c>
      <c r="L46" s="465">
        <f>ROUND(L45/12,2)</f>
        <v>21826.58</v>
      </c>
      <c r="M46" s="470"/>
      <c r="N46" s="448"/>
      <c r="O46" s="450">
        <f>ROUND(O45/12,2)</f>
        <v>19063.66</v>
      </c>
    </row>
    <row r="47" spans="1:15" ht="16" thickBot="1" x14ac:dyDescent="0.25">
      <c r="A47" s="1977"/>
      <c r="B47" s="430" t="s">
        <v>239</v>
      </c>
      <c r="C47" s="218">
        <f>C45/12</f>
        <v>18967.583333333332</v>
      </c>
      <c r="D47" s="219">
        <f>ROUND(D46/160.33,2)</f>
        <v>127.17</v>
      </c>
      <c r="E47" s="463"/>
      <c r="F47" s="219">
        <f t="shared" ref="F47:O47" si="14">ROUND(F46/160.33,2)</f>
        <v>129.82</v>
      </c>
      <c r="G47" s="219">
        <f t="shared" si="14"/>
        <v>122.47</v>
      </c>
      <c r="H47" s="219">
        <f t="shared" si="14"/>
        <v>131.65</v>
      </c>
      <c r="I47" s="219">
        <f t="shared" si="14"/>
        <v>124.94</v>
      </c>
      <c r="J47" s="219">
        <f t="shared" si="14"/>
        <v>134.30000000000001</v>
      </c>
      <c r="K47" s="219">
        <f t="shared" si="14"/>
        <v>126.64</v>
      </c>
      <c r="L47" s="219">
        <f t="shared" si="14"/>
        <v>136.13999999999999</v>
      </c>
      <c r="M47" s="219">
        <f t="shared" si="14"/>
        <v>0</v>
      </c>
      <c r="N47" s="219">
        <f t="shared" si="14"/>
        <v>0</v>
      </c>
      <c r="O47" s="219">
        <f t="shared" si="14"/>
        <v>118.9</v>
      </c>
    </row>
    <row r="48" spans="1:15" x14ac:dyDescent="0.2">
      <c r="A48" s="1975">
        <v>15</v>
      </c>
      <c r="B48" s="428" t="s">
        <v>97</v>
      </c>
      <c r="C48" s="221">
        <v>231649</v>
      </c>
      <c r="D48" s="214">
        <f>ROUND((C48*(1+'Løntabel gældende fra'!$D$7%)),0)</f>
        <v>249016</v>
      </c>
      <c r="E48" s="222">
        <v>236507</v>
      </c>
      <c r="F48" s="223">
        <f>ROUND((E48*(1+'Løntabel gældende fra'!$D$7%)),0)</f>
        <v>254238</v>
      </c>
      <c r="G48" s="221">
        <v>239870</v>
      </c>
      <c r="H48" s="214">
        <f>ROUND((G48*(1+'Løntabel gældende fra'!$D$7%)),0)</f>
        <v>257854</v>
      </c>
      <c r="I48" s="222">
        <v>244730</v>
      </c>
      <c r="J48" s="223">
        <f>ROUND((I48*(1+'Løntabel gældende fra'!$D$7%)),0)</f>
        <v>263078</v>
      </c>
      <c r="K48" s="221">
        <v>248094</v>
      </c>
      <c r="L48" s="214">
        <f>ROUND((K48*(1+'Løntabel gældende fra'!$D$7%)),0)</f>
        <v>266694</v>
      </c>
      <c r="M48" s="471"/>
      <c r="N48" s="449">
        <v>216591.65</v>
      </c>
      <c r="O48" s="228">
        <f>ROUND(N48*(1+'Løntabel gældende fra'!$D$7%),2)</f>
        <v>232829.96</v>
      </c>
    </row>
    <row r="49" spans="1:15" x14ac:dyDescent="0.2">
      <c r="A49" s="1976"/>
      <c r="B49" s="453" t="s">
        <v>98</v>
      </c>
      <c r="C49" s="458"/>
      <c r="D49" s="465">
        <f>ROUND(D48/12,2)</f>
        <v>20751.330000000002</v>
      </c>
      <c r="E49" s="462">
        <f>E48/12</f>
        <v>19708.916666666668</v>
      </c>
      <c r="F49" s="447">
        <f>ROUND(F48/12,2)</f>
        <v>21186.5</v>
      </c>
      <c r="G49" s="458">
        <f>G48/12</f>
        <v>19989.166666666668</v>
      </c>
      <c r="H49" s="465">
        <f>ROUND(H48/12,2)</f>
        <v>21487.83</v>
      </c>
      <c r="I49" s="462">
        <f>I48/12</f>
        <v>20394.166666666668</v>
      </c>
      <c r="J49" s="447">
        <f>ROUND(J48/12,2)</f>
        <v>21923.17</v>
      </c>
      <c r="K49" s="458">
        <f>K48/12</f>
        <v>20674.5</v>
      </c>
      <c r="L49" s="465">
        <f>ROUND(L48/12,2)</f>
        <v>22224.5</v>
      </c>
      <c r="M49" s="470"/>
      <c r="N49" s="448"/>
      <c r="O49" s="450">
        <f>ROUND(O48/12,2)</f>
        <v>19402.5</v>
      </c>
    </row>
    <row r="50" spans="1:15" ht="16" thickBot="1" x14ac:dyDescent="0.25">
      <c r="A50" s="1977"/>
      <c r="B50" s="430" t="s">
        <v>239</v>
      </c>
      <c r="C50" s="218">
        <f>C48/12</f>
        <v>19304.083333333332</v>
      </c>
      <c r="D50" s="219">
        <f>ROUND(D49/160.33,2)</f>
        <v>129.43</v>
      </c>
      <c r="E50" s="463"/>
      <c r="F50" s="219">
        <f t="shared" ref="F50:O50" si="15">ROUND(F49/160.33,2)</f>
        <v>132.13999999999999</v>
      </c>
      <c r="G50" s="219">
        <f t="shared" si="15"/>
        <v>124.68</v>
      </c>
      <c r="H50" s="219">
        <f t="shared" si="15"/>
        <v>134.02000000000001</v>
      </c>
      <c r="I50" s="219">
        <f t="shared" si="15"/>
        <v>127.2</v>
      </c>
      <c r="J50" s="219">
        <f t="shared" si="15"/>
        <v>136.74</v>
      </c>
      <c r="K50" s="219">
        <f t="shared" si="15"/>
        <v>128.94999999999999</v>
      </c>
      <c r="L50" s="219">
        <f t="shared" si="15"/>
        <v>138.62</v>
      </c>
      <c r="M50" s="219">
        <f t="shared" si="15"/>
        <v>0</v>
      </c>
      <c r="N50" s="219">
        <f t="shared" si="15"/>
        <v>0</v>
      </c>
      <c r="O50" s="219">
        <f t="shared" si="15"/>
        <v>121.02</v>
      </c>
    </row>
    <row r="51" spans="1:15" x14ac:dyDescent="0.2">
      <c r="A51" s="1975">
        <v>16</v>
      </c>
      <c r="B51" s="428" t="s">
        <v>97</v>
      </c>
      <c r="C51" s="221">
        <v>234743</v>
      </c>
      <c r="D51" s="214">
        <f>ROUND((C51*(1+'Løntabel gældende fra'!$D$7%)),0)</f>
        <v>252342</v>
      </c>
      <c r="E51" s="222">
        <v>239725</v>
      </c>
      <c r="F51" s="223">
        <f>ROUND((E51*(1+'Løntabel gældende fra'!$D$7%)),0)</f>
        <v>257698</v>
      </c>
      <c r="G51" s="221">
        <v>243175</v>
      </c>
      <c r="H51" s="214">
        <f>ROUND((G51*(1+'Løntabel gældende fra'!$D$7%)),0)</f>
        <v>261406</v>
      </c>
      <c r="I51" s="222">
        <v>248156</v>
      </c>
      <c r="J51" s="223">
        <f>ROUND((I51*(1+'Løntabel gældende fra'!$D$7%)),0)</f>
        <v>266761</v>
      </c>
      <c r="K51" s="221">
        <v>251606</v>
      </c>
      <c r="L51" s="214">
        <f>ROUND((K51*(1+'Løntabel gældende fra'!$D$7%)),0)</f>
        <v>270469</v>
      </c>
      <c r="M51" s="471"/>
      <c r="N51" s="449">
        <v>220480.52</v>
      </c>
      <c r="O51" s="228">
        <f>ROUND(N51*(1+'Løntabel gældende fra'!$D$7%),2)</f>
        <v>237010.39</v>
      </c>
    </row>
    <row r="52" spans="1:15" x14ac:dyDescent="0.2">
      <c r="A52" s="1976"/>
      <c r="B52" s="453" t="s">
        <v>246</v>
      </c>
      <c r="C52" s="458"/>
      <c r="D52" s="465">
        <f>ROUND(D51/12,2)</f>
        <v>21028.5</v>
      </c>
      <c r="E52" s="462">
        <f>E51/12</f>
        <v>19977.083333333332</v>
      </c>
      <c r="F52" s="447">
        <f>ROUND(F51/12,2)</f>
        <v>21474.83</v>
      </c>
      <c r="G52" s="458">
        <f>G51/12</f>
        <v>20264.583333333332</v>
      </c>
      <c r="H52" s="465">
        <f>ROUND(H51/12,2)</f>
        <v>21783.83</v>
      </c>
      <c r="I52" s="462">
        <f>I51/12</f>
        <v>20679.666666666668</v>
      </c>
      <c r="J52" s="447">
        <f>ROUND(J51/12,2)</f>
        <v>22230.080000000002</v>
      </c>
      <c r="K52" s="458">
        <f>K51/12</f>
        <v>20967.166666666668</v>
      </c>
      <c r="L52" s="465">
        <f>ROUND(L51/12,2)</f>
        <v>22539.08</v>
      </c>
      <c r="M52" s="470"/>
      <c r="N52" s="448"/>
      <c r="O52" s="450">
        <f>ROUND(O51/12,2)</f>
        <v>19750.87</v>
      </c>
    </row>
    <row r="53" spans="1:15" ht="16" thickBot="1" x14ac:dyDescent="0.25">
      <c r="A53" s="1977"/>
      <c r="B53" s="430" t="s">
        <v>239</v>
      </c>
      <c r="C53" s="218">
        <f>C51/12</f>
        <v>19561.916666666668</v>
      </c>
      <c r="D53" s="219">
        <f>ROUND(D52/160.33,2)</f>
        <v>131.16</v>
      </c>
      <c r="E53" s="463"/>
      <c r="F53" s="219">
        <f t="shared" ref="F53:O53" si="16">ROUND(F52/160.33,2)</f>
        <v>133.94</v>
      </c>
      <c r="G53" s="219">
        <f t="shared" si="16"/>
        <v>126.39</v>
      </c>
      <c r="H53" s="219">
        <f t="shared" si="16"/>
        <v>135.87</v>
      </c>
      <c r="I53" s="219">
        <f t="shared" si="16"/>
        <v>128.97999999999999</v>
      </c>
      <c r="J53" s="219">
        <f t="shared" si="16"/>
        <v>138.65</v>
      </c>
      <c r="K53" s="219">
        <f t="shared" si="16"/>
        <v>130.78</v>
      </c>
      <c r="L53" s="219">
        <f t="shared" si="16"/>
        <v>140.58000000000001</v>
      </c>
      <c r="M53" s="219">
        <f t="shared" si="16"/>
        <v>0</v>
      </c>
      <c r="N53" s="219">
        <f t="shared" si="16"/>
        <v>0</v>
      </c>
      <c r="O53" s="219">
        <f t="shared" si="16"/>
        <v>123.19</v>
      </c>
    </row>
    <row r="54" spans="1:15" x14ac:dyDescent="0.2">
      <c r="A54" s="1978">
        <v>17</v>
      </c>
      <c r="B54" s="212" t="s">
        <v>97</v>
      </c>
      <c r="C54" s="213">
        <v>239005</v>
      </c>
      <c r="D54" s="217">
        <f>ROUND((C54*(1+'Løntabel gældende fra'!$D$7%)),0)</f>
        <v>256924</v>
      </c>
      <c r="E54" s="215">
        <v>244114</v>
      </c>
      <c r="F54" s="216">
        <f>ROUND((E54*(1+'Løntabel gældende fra'!$D$7%)),0)</f>
        <v>262416</v>
      </c>
      <c r="G54" s="213">
        <v>247651</v>
      </c>
      <c r="H54" s="217">
        <f>ROUND((G54*(1+'Løntabel gældende fra'!$D$7%)),0)</f>
        <v>266218</v>
      </c>
      <c r="I54" s="215">
        <v>252759</v>
      </c>
      <c r="J54" s="216">
        <f>ROUND((I54*(1+'Løntabel gældende fra'!$D$7%)),0)</f>
        <v>271709</v>
      </c>
      <c r="K54" s="213">
        <v>256294</v>
      </c>
      <c r="L54" s="217">
        <f>ROUND((K54*(1+'Løntabel gældende fra'!$D$7%)),0)</f>
        <v>275509</v>
      </c>
      <c r="M54" s="472"/>
      <c r="N54" s="451">
        <v>224474.06</v>
      </c>
      <c r="O54" s="452">
        <f>ROUND(N54*(1+'Løntabel gældende fra'!$D$7%),2)</f>
        <v>241303.33</v>
      </c>
    </row>
    <row r="55" spans="1:15" x14ac:dyDescent="0.2">
      <c r="A55" s="1976"/>
      <c r="B55" s="453" t="s">
        <v>246</v>
      </c>
      <c r="C55" s="458"/>
      <c r="D55" s="465">
        <f>ROUND(D54/12,2)</f>
        <v>21410.33</v>
      </c>
      <c r="E55" s="462">
        <f>E54/12</f>
        <v>20342.833333333332</v>
      </c>
      <c r="F55" s="447">
        <f>ROUND(F54/12,2)</f>
        <v>21868</v>
      </c>
      <c r="G55" s="458">
        <f>G54/12</f>
        <v>20637.583333333332</v>
      </c>
      <c r="H55" s="465">
        <f>ROUND(H54/12,2)</f>
        <v>22184.83</v>
      </c>
      <c r="I55" s="462">
        <f>I54/12</f>
        <v>21063.25</v>
      </c>
      <c r="J55" s="447">
        <f>ROUND(J54/12,2)</f>
        <v>22642.42</v>
      </c>
      <c r="K55" s="458">
        <f>K54/12</f>
        <v>21357.833333333332</v>
      </c>
      <c r="L55" s="465">
        <f>ROUND(L54/12,2)</f>
        <v>22959.08</v>
      </c>
      <c r="M55" s="470"/>
      <c r="N55" s="448"/>
      <c r="O55" s="450">
        <f>ROUND(O54/12,2)</f>
        <v>20108.61</v>
      </c>
    </row>
    <row r="56" spans="1:15" ht="16" thickBot="1" x14ac:dyDescent="0.25">
      <c r="A56" s="1979"/>
      <c r="B56" s="454" t="s">
        <v>239</v>
      </c>
      <c r="C56" s="461">
        <f>C54/12</f>
        <v>19917.083333333332</v>
      </c>
      <c r="D56" s="219">
        <f>ROUND(D55/160.33,2)</f>
        <v>133.54</v>
      </c>
      <c r="E56" s="464"/>
      <c r="F56" s="219">
        <f t="shared" ref="F56:O56" si="17">ROUND(F55/160.33,2)</f>
        <v>136.38999999999999</v>
      </c>
      <c r="G56" s="219">
        <f t="shared" si="17"/>
        <v>128.72</v>
      </c>
      <c r="H56" s="219">
        <f t="shared" si="17"/>
        <v>138.37</v>
      </c>
      <c r="I56" s="219">
        <f t="shared" si="17"/>
        <v>131.37</v>
      </c>
      <c r="J56" s="219">
        <f t="shared" si="17"/>
        <v>141.22</v>
      </c>
      <c r="K56" s="219">
        <f t="shared" si="17"/>
        <v>133.21</v>
      </c>
      <c r="L56" s="219">
        <f t="shared" si="17"/>
        <v>143.19999999999999</v>
      </c>
      <c r="M56" s="219">
        <f t="shared" si="17"/>
        <v>0</v>
      </c>
      <c r="N56" s="219">
        <f t="shared" si="17"/>
        <v>0</v>
      </c>
      <c r="O56" s="219">
        <f t="shared" si="17"/>
        <v>125.42</v>
      </c>
    </row>
    <row r="57" spans="1:15" x14ac:dyDescent="0.2">
      <c r="A57" s="1975">
        <v>18</v>
      </c>
      <c r="B57" s="428" t="s">
        <v>97</v>
      </c>
      <c r="C57" s="221">
        <v>243387</v>
      </c>
      <c r="D57" s="214">
        <f>ROUND((C57*(1+'Løntabel gældende fra'!$D$7%)),0)</f>
        <v>261634</v>
      </c>
      <c r="E57" s="222">
        <v>248626</v>
      </c>
      <c r="F57" s="223">
        <f>ROUND((E57*(1+'Løntabel gældende fra'!$D$7%)),0)</f>
        <v>267266</v>
      </c>
      <c r="G57" s="221">
        <v>252252</v>
      </c>
      <c r="H57" s="214">
        <f>ROUND((G57*(1+'Løntabel gældende fra'!$D$7%)),0)</f>
        <v>271164</v>
      </c>
      <c r="I57" s="222">
        <v>257490</v>
      </c>
      <c r="J57" s="223">
        <f>ROUND((I57*(1+'Løntabel gældende fra'!$D$7%)),0)</f>
        <v>276795</v>
      </c>
      <c r="K57" s="221">
        <v>261115</v>
      </c>
      <c r="L57" s="214">
        <f>ROUND((K57*(1+'Løntabel gældende fra'!$D$7%)),0)</f>
        <v>280691</v>
      </c>
      <c r="M57" s="471"/>
      <c r="N57" s="449">
        <v>228579.5</v>
      </c>
      <c r="O57" s="228">
        <f>ROUND(N57*(1+'Løntabel gældende fra'!$D$7%),2)</f>
        <v>245716.56</v>
      </c>
    </row>
    <row r="58" spans="1:15" x14ac:dyDescent="0.2">
      <c r="A58" s="1976"/>
      <c r="B58" s="453" t="s">
        <v>98</v>
      </c>
      <c r="C58" s="458"/>
      <c r="D58" s="465">
        <f>ROUND(D57/12,2)</f>
        <v>21802.83</v>
      </c>
      <c r="E58" s="462">
        <f>E57/12</f>
        <v>20718.833333333332</v>
      </c>
      <c r="F58" s="447">
        <f>ROUND(F57/12,2)</f>
        <v>22272.17</v>
      </c>
      <c r="G58" s="458">
        <f>G57/12</f>
        <v>21021</v>
      </c>
      <c r="H58" s="465">
        <f>ROUND(H57/12,2)</f>
        <v>22597</v>
      </c>
      <c r="I58" s="462">
        <f>I57/12</f>
        <v>21457.5</v>
      </c>
      <c r="J58" s="447">
        <f>ROUND(J57/12,2)</f>
        <v>23066.25</v>
      </c>
      <c r="K58" s="458">
        <f>K57/12</f>
        <v>21759.583333333332</v>
      </c>
      <c r="L58" s="465">
        <f>ROUND(L57/12,2)</f>
        <v>23390.92</v>
      </c>
      <c r="M58" s="470"/>
      <c r="N58" s="448"/>
      <c r="O58" s="450">
        <f>ROUND(O57/12,2)</f>
        <v>20476.38</v>
      </c>
    </row>
    <row r="59" spans="1:15" ht="16" thickBot="1" x14ac:dyDescent="0.25">
      <c r="A59" s="1977"/>
      <c r="B59" s="430" t="s">
        <v>239</v>
      </c>
      <c r="C59" s="218">
        <f>C57/12</f>
        <v>20282.25</v>
      </c>
      <c r="D59" s="219">
        <f>ROUND(D58/160.33,2)</f>
        <v>135.99</v>
      </c>
      <c r="E59" s="463"/>
      <c r="F59" s="219">
        <f t="shared" ref="F59:O59" si="18">ROUND(F58/160.33,2)</f>
        <v>138.91</v>
      </c>
      <c r="G59" s="219">
        <f t="shared" si="18"/>
        <v>131.11000000000001</v>
      </c>
      <c r="H59" s="219">
        <f t="shared" si="18"/>
        <v>140.94</v>
      </c>
      <c r="I59" s="219">
        <f t="shared" si="18"/>
        <v>133.83000000000001</v>
      </c>
      <c r="J59" s="219">
        <f t="shared" si="18"/>
        <v>143.87</v>
      </c>
      <c r="K59" s="219">
        <f t="shared" si="18"/>
        <v>135.72</v>
      </c>
      <c r="L59" s="219">
        <f t="shared" si="18"/>
        <v>145.88999999999999</v>
      </c>
      <c r="M59" s="219">
        <f t="shared" si="18"/>
        <v>0</v>
      </c>
      <c r="N59" s="219">
        <f t="shared" si="18"/>
        <v>0</v>
      </c>
      <c r="O59" s="219">
        <f t="shared" si="18"/>
        <v>127.71</v>
      </c>
    </row>
    <row r="60" spans="1:15" x14ac:dyDescent="0.2">
      <c r="A60" s="1978">
        <v>19</v>
      </c>
      <c r="B60" s="212" t="s">
        <v>97</v>
      </c>
      <c r="C60" s="213">
        <v>246657</v>
      </c>
      <c r="D60" s="217">
        <f>ROUND((C60*(1+'Løntabel gældende fra'!$D$7%)),0)</f>
        <v>265149</v>
      </c>
      <c r="E60" s="215">
        <v>252029</v>
      </c>
      <c r="F60" s="216">
        <f>ROUND((E60*(1+'Løntabel gældende fra'!$D$7%)),0)</f>
        <v>270924</v>
      </c>
      <c r="G60" s="213">
        <v>255746</v>
      </c>
      <c r="H60" s="217">
        <f>ROUND((G60*(1+'Løntabel gældende fra'!$D$7%)),0)</f>
        <v>274920</v>
      </c>
      <c r="I60" s="215">
        <v>261119</v>
      </c>
      <c r="J60" s="216">
        <f>ROUND((I60*(1+'Løntabel gældende fra'!$D$7%)),0)</f>
        <v>280696</v>
      </c>
      <c r="K60" s="213">
        <v>264839</v>
      </c>
      <c r="L60" s="217">
        <f>ROUND((K60*(1+'Løntabel gældende fra'!$D$7%)),0)</f>
        <v>284695</v>
      </c>
      <c r="M60" s="472"/>
      <c r="N60" s="451">
        <v>232796.81</v>
      </c>
      <c r="O60" s="452">
        <f>ROUND(N60*(1+'Løntabel gældende fra'!$D$7%),2)</f>
        <v>250250.05</v>
      </c>
    </row>
    <row r="61" spans="1:15" x14ac:dyDescent="0.2">
      <c r="A61" s="1976"/>
      <c r="B61" s="453" t="s">
        <v>246</v>
      </c>
      <c r="C61" s="458"/>
      <c r="D61" s="465">
        <f>ROUND(D60/12,2)</f>
        <v>22095.75</v>
      </c>
      <c r="E61" s="462">
        <f>E60/12</f>
        <v>21002.416666666668</v>
      </c>
      <c r="F61" s="447">
        <f>ROUND(F60/12,2)</f>
        <v>22577</v>
      </c>
      <c r="G61" s="458">
        <f>G60/12</f>
        <v>21312.166666666668</v>
      </c>
      <c r="H61" s="465">
        <f>ROUND(H60/12,2)</f>
        <v>22910</v>
      </c>
      <c r="I61" s="462">
        <f>I60/12</f>
        <v>21759.916666666668</v>
      </c>
      <c r="J61" s="447">
        <f>ROUND(J60/12,2)</f>
        <v>23391.33</v>
      </c>
      <c r="K61" s="458">
        <f>K60/12</f>
        <v>22069.916666666668</v>
      </c>
      <c r="L61" s="465">
        <f>ROUND(L60/12,2)</f>
        <v>23724.58</v>
      </c>
      <c r="M61" s="470"/>
      <c r="N61" s="448"/>
      <c r="O61" s="450">
        <f>ROUND(O60/12,2)</f>
        <v>20854.169999999998</v>
      </c>
    </row>
    <row r="62" spans="1:15" ht="16" thickBot="1" x14ac:dyDescent="0.25">
      <c r="A62" s="1979"/>
      <c r="B62" s="454" t="s">
        <v>239</v>
      </c>
      <c r="C62" s="461">
        <f>C60/12</f>
        <v>20554.75</v>
      </c>
      <c r="D62" s="219">
        <f>ROUND(D61/160.33,2)</f>
        <v>137.81</v>
      </c>
      <c r="E62" s="464"/>
      <c r="F62" s="219">
        <f t="shared" ref="F62:O62" si="19">ROUND(F61/160.33,2)</f>
        <v>140.82</v>
      </c>
      <c r="G62" s="219">
        <f t="shared" si="19"/>
        <v>132.93</v>
      </c>
      <c r="H62" s="219">
        <f t="shared" si="19"/>
        <v>142.88999999999999</v>
      </c>
      <c r="I62" s="219">
        <f t="shared" si="19"/>
        <v>135.72</v>
      </c>
      <c r="J62" s="219">
        <f t="shared" si="19"/>
        <v>145.88999999999999</v>
      </c>
      <c r="K62" s="219">
        <f t="shared" si="19"/>
        <v>137.65</v>
      </c>
      <c r="L62" s="219">
        <f t="shared" si="19"/>
        <v>147.97</v>
      </c>
      <c r="M62" s="219">
        <f t="shared" si="19"/>
        <v>0</v>
      </c>
      <c r="N62" s="219">
        <f t="shared" si="19"/>
        <v>0</v>
      </c>
      <c r="O62" s="219">
        <f t="shared" si="19"/>
        <v>130.07</v>
      </c>
    </row>
    <row r="63" spans="1:15" x14ac:dyDescent="0.2">
      <c r="A63" s="1975">
        <v>20</v>
      </c>
      <c r="B63" s="428" t="s">
        <v>97</v>
      </c>
      <c r="C63" s="221">
        <v>250053</v>
      </c>
      <c r="D63" s="214">
        <f>ROUND((C63*(1+'Løntabel gældende fra'!$D$7%)),0)</f>
        <v>268800</v>
      </c>
      <c r="E63" s="222">
        <v>255560</v>
      </c>
      <c r="F63" s="223">
        <f>ROUND((E63*(1+'Løntabel gældende fra'!$D$7%)),0)</f>
        <v>274720</v>
      </c>
      <c r="G63" s="221">
        <v>259374</v>
      </c>
      <c r="H63" s="214">
        <f>ROUND((G63*(1+'Løntabel gældende fra'!$D$7%)),0)</f>
        <v>278820</v>
      </c>
      <c r="I63" s="222">
        <v>264882</v>
      </c>
      <c r="J63" s="223">
        <f>ROUND((I63*(1+'Løntabel gældende fra'!$D$7%)),0)</f>
        <v>284741</v>
      </c>
      <c r="K63" s="221">
        <v>268694</v>
      </c>
      <c r="L63" s="214">
        <f>ROUND((K63*(1+'Løntabel gældende fra'!$D$7%)),0)</f>
        <v>288839</v>
      </c>
      <c r="M63" s="471"/>
      <c r="N63" s="449">
        <v>237129.61</v>
      </c>
      <c r="O63" s="228">
        <f>ROUND(N63*(1+'Løntabel gældende fra'!$D$7%),2)</f>
        <v>254907.69</v>
      </c>
    </row>
    <row r="64" spans="1:15" x14ac:dyDescent="0.2">
      <c r="A64" s="1976"/>
      <c r="B64" s="453" t="s">
        <v>98</v>
      </c>
      <c r="C64" s="458"/>
      <c r="D64" s="465">
        <f>ROUND(D63/12,2)</f>
        <v>22400</v>
      </c>
      <c r="E64" s="462">
        <f>E63/12</f>
        <v>21296.666666666668</v>
      </c>
      <c r="F64" s="447">
        <f>ROUND(F63/12,2)</f>
        <v>22893.33</v>
      </c>
      <c r="G64" s="458">
        <f>G63/12</f>
        <v>21614.5</v>
      </c>
      <c r="H64" s="465">
        <f>ROUND(H63/12,2)</f>
        <v>23235</v>
      </c>
      <c r="I64" s="462">
        <f>I63/12</f>
        <v>22073.5</v>
      </c>
      <c r="J64" s="447">
        <f>ROUND(J63/12,2)</f>
        <v>23728.42</v>
      </c>
      <c r="K64" s="458">
        <f>K63/12</f>
        <v>22391.166666666668</v>
      </c>
      <c r="L64" s="465">
        <f>ROUND(L63/12,2)</f>
        <v>24069.919999999998</v>
      </c>
      <c r="M64" s="470"/>
      <c r="N64" s="448"/>
      <c r="O64" s="450">
        <f>ROUND(O63/12,2)</f>
        <v>21242.31</v>
      </c>
    </row>
    <row r="65" spans="1:15" ht="16" thickBot="1" x14ac:dyDescent="0.25">
      <c r="A65" s="1977"/>
      <c r="B65" s="430" t="s">
        <v>239</v>
      </c>
      <c r="C65" s="218">
        <f>C63/12</f>
        <v>20837.75</v>
      </c>
      <c r="D65" s="219">
        <f>ROUND(D64/160.33,2)</f>
        <v>139.71</v>
      </c>
      <c r="E65" s="463"/>
      <c r="F65" s="219">
        <f t="shared" ref="F65:O65" si="20">ROUND(F64/160.33,2)</f>
        <v>142.79</v>
      </c>
      <c r="G65" s="219">
        <f t="shared" si="20"/>
        <v>134.81</v>
      </c>
      <c r="H65" s="219">
        <f t="shared" si="20"/>
        <v>144.91999999999999</v>
      </c>
      <c r="I65" s="219">
        <f t="shared" si="20"/>
        <v>137.68</v>
      </c>
      <c r="J65" s="219">
        <f t="shared" si="20"/>
        <v>148</v>
      </c>
      <c r="K65" s="219">
        <f t="shared" si="20"/>
        <v>139.66</v>
      </c>
      <c r="L65" s="219">
        <f t="shared" si="20"/>
        <v>150.13</v>
      </c>
      <c r="M65" s="219">
        <f t="shared" si="20"/>
        <v>0</v>
      </c>
      <c r="N65" s="219">
        <f t="shared" si="20"/>
        <v>0</v>
      </c>
      <c r="O65" s="219">
        <f t="shared" si="20"/>
        <v>132.49</v>
      </c>
    </row>
    <row r="66" spans="1:15" x14ac:dyDescent="0.2">
      <c r="A66" s="1978">
        <v>21</v>
      </c>
      <c r="B66" s="212" t="s">
        <v>97</v>
      </c>
      <c r="C66" s="213">
        <v>254192</v>
      </c>
      <c r="D66" s="217">
        <f>ROUND((C66*(1+'Løntabel gældende fra'!$D$7%)),0)</f>
        <v>273249</v>
      </c>
      <c r="E66" s="215">
        <v>259841</v>
      </c>
      <c r="F66" s="216">
        <f>ROUND((E66*(1+'Løntabel gældende fra'!$D$7%)),0)</f>
        <v>279322</v>
      </c>
      <c r="G66" s="213">
        <v>263752</v>
      </c>
      <c r="H66" s="217">
        <f>ROUND((G66*(1+'Løntabel gældende fra'!$D$7%)),0)</f>
        <v>283526</v>
      </c>
      <c r="I66" s="215">
        <v>269401</v>
      </c>
      <c r="J66" s="216">
        <f>ROUND((I66*(1+'Løntabel gældende fra'!$D$7%)),0)</f>
        <v>289599</v>
      </c>
      <c r="K66" s="213">
        <v>273312</v>
      </c>
      <c r="L66" s="217">
        <f>ROUND((K66*(1+'Løntabel gældende fra'!$D$7%)),0)</f>
        <v>293803</v>
      </c>
      <c r="M66" s="472"/>
      <c r="N66" s="451">
        <v>241583.32</v>
      </c>
      <c r="O66" s="452">
        <f>ROUND(N66*(1+'Løntabel gældende fra'!$D$7%),2)</f>
        <v>259695.3</v>
      </c>
    </row>
    <row r="67" spans="1:15" x14ac:dyDescent="0.2">
      <c r="A67" s="1976"/>
      <c r="B67" s="453" t="s">
        <v>246</v>
      </c>
      <c r="C67" s="458"/>
      <c r="D67" s="465">
        <f>ROUND(D66/12,2)</f>
        <v>22770.75</v>
      </c>
      <c r="E67" s="462">
        <f>E66/12</f>
        <v>21653.416666666668</v>
      </c>
      <c r="F67" s="447">
        <f>ROUND(F66/12,2)</f>
        <v>23276.83</v>
      </c>
      <c r="G67" s="458">
        <f>G66/12</f>
        <v>21979.333333333332</v>
      </c>
      <c r="H67" s="465">
        <f>ROUND(H66/12,2)</f>
        <v>23627.17</v>
      </c>
      <c r="I67" s="462">
        <f>I66/12</f>
        <v>22450.083333333332</v>
      </c>
      <c r="J67" s="447">
        <f>ROUND(J66/12,2)</f>
        <v>24133.25</v>
      </c>
      <c r="K67" s="458">
        <f>K66/12</f>
        <v>22776</v>
      </c>
      <c r="L67" s="465">
        <f>ROUND(L66/12,2)</f>
        <v>24483.58</v>
      </c>
      <c r="M67" s="470"/>
      <c r="N67" s="448"/>
      <c r="O67" s="450">
        <f>ROUND(O66/12,2)</f>
        <v>21641.279999999999</v>
      </c>
    </row>
    <row r="68" spans="1:15" ht="16" thickBot="1" x14ac:dyDescent="0.25">
      <c r="A68" s="1979"/>
      <c r="B68" s="454" t="s">
        <v>239</v>
      </c>
      <c r="C68" s="461">
        <f>C66/12</f>
        <v>21182.666666666668</v>
      </c>
      <c r="D68" s="219">
        <f>ROUND(D67/160.33,2)</f>
        <v>142.02000000000001</v>
      </c>
      <c r="E68" s="464"/>
      <c r="F68" s="219">
        <f t="shared" ref="F68:O68" si="21">ROUND(F67/160.33,2)</f>
        <v>145.18</v>
      </c>
      <c r="G68" s="219">
        <f t="shared" si="21"/>
        <v>137.09</v>
      </c>
      <c r="H68" s="219">
        <f t="shared" si="21"/>
        <v>147.37</v>
      </c>
      <c r="I68" s="219">
        <f t="shared" si="21"/>
        <v>140.02000000000001</v>
      </c>
      <c r="J68" s="219">
        <f t="shared" si="21"/>
        <v>150.52000000000001</v>
      </c>
      <c r="K68" s="219">
        <f t="shared" si="21"/>
        <v>142.06</v>
      </c>
      <c r="L68" s="219">
        <f t="shared" si="21"/>
        <v>152.71</v>
      </c>
      <c r="M68" s="219">
        <f t="shared" si="21"/>
        <v>0</v>
      </c>
      <c r="N68" s="219">
        <f t="shared" si="21"/>
        <v>0</v>
      </c>
      <c r="O68" s="219">
        <f t="shared" si="21"/>
        <v>134.97999999999999</v>
      </c>
    </row>
    <row r="69" spans="1:15" x14ac:dyDescent="0.2">
      <c r="A69" s="1975">
        <v>22</v>
      </c>
      <c r="B69" s="225" t="s">
        <v>97</v>
      </c>
      <c r="C69" s="221">
        <v>258027</v>
      </c>
      <c r="D69" s="214">
        <f>ROUND((C69*(1+'Løntabel gældende fra'!$D$7%)),0)</f>
        <v>277372</v>
      </c>
      <c r="E69" s="222">
        <v>263676</v>
      </c>
      <c r="F69" s="223">
        <f>ROUND((E69*(1+'Løntabel gældende fra'!$D$7%)),0)</f>
        <v>283444</v>
      </c>
      <c r="G69" s="221">
        <v>267587</v>
      </c>
      <c r="H69" s="214">
        <f>ROUND((G69*(1+'Løntabel gældende fra'!$D$7%)),0)</f>
        <v>287649</v>
      </c>
      <c r="I69" s="222">
        <v>273236</v>
      </c>
      <c r="J69" s="223">
        <f>ROUND((I69*(1+'Løntabel gældende fra'!$D$7%)),0)</f>
        <v>293721</v>
      </c>
      <c r="K69" s="221">
        <v>277147</v>
      </c>
      <c r="L69" s="214">
        <f>ROUND((K69*(1+'Løntabel gældende fra'!$D$7%)),0)</f>
        <v>297925</v>
      </c>
      <c r="M69" s="471"/>
      <c r="N69" s="449">
        <v>246033.33</v>
      </c>
      <c r="O69" s="228">
        <f>ROUND(N69*(1+'Løntabel gældende fra'!$D$7%),2)</f>
        <v>264478.94</v>
      </c>
    </row>
    <row r="70" spans="1:15" x14ac:dyDescent="0.2">
      <c r="A70" s="1976"/>
      <c r="B70" s="455" t="s">
        <v>246</v>
      </c>
      <c r="C70" s="458"/>
      <c r="D70" s="465">
        <f>ROUND(D69/12,2)</f>
        <v>23114.33</v>
      </c>
      <c r="E70" s="462">
        <f>E69/12</f>
        <v>21973</v>
      </c>
      <c r="F70" s="447">
        <f>ROUND(F69/12,2)</f>
        <v>23620.33</v>
      </c>
      <c r="G70" s="458">
        <f>G69/12</f>
        <v>22298.916666666668</v>
      </c>
      <c r="H70" s="465">
        <f>ROUND(H69/12,2)</f>
        <v>23970.75</v>
      </c>
      <c r="I70" s="462">
        <f>I69/12</f>
        <v>22769.666666666668</v>
      </c>
      <c r="J70" s="447">
        <f>ROUND(J69/12,2)</f>
        <v>24476.75</v>
      </c>
      <c r="K70" s="458">
        <f>K69/12</f>
        <v>23095.583333333332</v>
      </c>
      <c r="L70" s="465">
        <f>ROUND(L69/12,2)</f>
        <v>24827.08</v>
      </c>
      <c r="M70" s="470"/>
      <c r="N70" s="448"/>
      <c r="O70" s="450">
        <f>ROUND(O69/12,2)</f>
        <v>22039.91</v>
      </c>
    </row>
    <row r="71" spans="1:15" ht="16" thickBot="1" x14ac:dyDescent="0.25">
      <c r="A71" s="1977"/>
      <c r="B71" s="456" t="s">
        <v>239</v>
      </c>
      <c r="C71" s="218">
        <v>262137</v>
      </c>
      <c r="D71" s="219">
        <f>ROUND(D70/160.33,2)</f>
        <v>144.16999999999999</v>
      </c>
      <c r="E71" s="463"/>
      <c r="F71" s="219">
        <f t="shared" ref="F71:O71" si="22">ROUND(F70/160.33,2)</f>
        <v>147.32</v>
      </c>
      <c r="G71" s="219">
        <f t="shared" si="22"/>
        <v>139.08000000000001</v>
      </c>
      <c r="H71" s="219">
        <f t="shared" si="22"/>
        <v>149.51</v>
      </c>
      <c r="I71" s="219">
        <f t="shared" si="22"/>
        <v>142.02000000000001</v>
      </c>
      <c r="J71" s="219">
        <f t="shared" si="22"/>
        <v>152.66</v>
      </c>
      <c r="K71" s="219">
        <f t="shared" si="22"/>
        <v>144.05000000000001</v>
      </c>
      <c r="L71" s="219">
        <f t="shared" si="22"/>
        <v>154.85</v>
      </c>
      <c r="M71" s="219">
        <f t="shared" si="22"/>
        <v>0</v>
      </c>
      <c r="N71" s="219">
        <f t="shared" si="22"/>
        <v>0</v>
      </c>
      <c r="O71" s="219">
        <f t="shared" si="22"/>
        <v>137.47</v>
      </c>
    </row>
    <row r="72" spans="1:15" x14ac:dyDescent="0.2">
      <c r="A72" s="1978">
        <v>23</v>
      </c>
      <c r="B72" s="224" t="s">
        <v>97</v>
      </c>
      <c r="C72" s="213">
        <v>262137</v>
      </c>
      <c r="D72" s="217">
        <f>ROUND((C72*(1+'Løntabel gældende fra'!$D$7%)),0)</f>
        <v>281790</v>
      </c>
      <c r="E72" s="215">
        <v>267629</v>
      </c>
      <c r="F72" s="216">
        <f>ROUND((E72*(1+'Løntabel gældende fra'!$D$7%)),0)</f>
        <v>287694</v>
      </c>
      <c r="G72" s="213">
        <v>271434</v>
      </c>
      <c r="H72" s="217">
        <f>ROUND((G72*(1+'Løntabel gældende fra'!$D$7%)),0)</f>
        <v>291784</v>
      </c>
      <c r="I72" s="215">
        <v>276928</v>
      </c>
      <c r="J72" s="216">
        <f>ROUND((I72*(1+'Løntabel gældende fra'!$D$7%)),0)</f>
        <v>297690</v>
      </c>
      <c r="K72" s="213">
        <v>280730</v>
      </c>
      <c r="L72" s="217">
        <f>ROUND((K72*(1+'Løntabel gældende fra'!$D$7%)),0)</f>
        <v>301777</v>
      </c>
      <c r="M72" s="472"/>
      <c r="N72" s="451">
        <v>250472.55</v>
      </c>
      <c r="O72" s="452">
        <f>ROUND(N72*(1+'Løntabel gældende fra'!$D$7%),2)</f>
        <v>269250.98</v>
      </c>
    </row>
    <row r="73" spans="1:15" x14ac:dyDescent="0.2">
      <c r="A73" s="1976"/>
      <c r="B73" s="455" t="s">
        <v>246</v>
      </c>
      <c r="C73" s="458"/>
      <c r="D73" s="465">
        <f>ROUND(D72/12,2)</f>
        <v>23482.5</v>
      </c>
      <c r="E73" s="462">
        <f>E72/12</f>
        <v>22302.416666666668</v>
      </c>
      <c r="F73" s="447">
        <f>ROUND(F72/12,2)</f>
        <v>23974.5</v>
      </c>
      <c r="G73" s="458">
        <f>G72/12</f>
        <v>22619.5</v>
      </c>
      <c r="H73" s="465">
        <f>ROUND(H72/12,2)</f>
        <v>24315.33</v>
      </c>
      <c r="I73" s="462">
        <f>I72/12</f>
        <v>23077.333333333332</v>
      </c>
      <c r="J73" s="447">
        <f>ROUND(J72/12,2)</f>
        <v>24807.5</v>
      </c>
      <c r="K73" s="458">
        <f>K72/12</f>
        <v>23394.166666666668</v>
      </c>
      <c r="L73" s="465">
        <f>ROUND(L72/12,2)</f>
        <v>25148.080000000002</v>
      </c>
      <c r="M73" s="470"/>
      <c r="N73" s="448"/>
      <c r="O73" s="450">
        <f>ROUND(O72/12,2)</f>
        <v>22437.58</v>
      </c>
    </row>
    <row r="74" spans="1:15" ht="16" thickBot="1" x14ac:dyDescent="0.25">
      <c r="A74" s="1979"/>
      <c r="B74" s="457" t="s">
        <v>239</v>
      </c>
      <c r="C74" s="461">
        <f>C72/12</f>
        <v>21844.75</v>
      </c>
      <c r="D74" s="219">
        <f>ROUND(D73/160.33,2)</f>
        <v>146.46</v>
      </c>
      <c r="E74" s="464"/>
      <c r="F74" s="219">
        <f t="shared" ref="F74:O74" si="23">ROUND(F73/160.33,2)</f>
        <v>149.53</v>
      </c>
      <c r="G74" s="219">
        <f t="shared" si="23"/>
        <v>141.08000000000001</v>
      </c>
      <c r="H74" s="219">
        <f t="shared" si="23"/>
        <v>151.66</v>
      </c>
      <c r="I74" s="219">
        <f t="shared" si="23"/>
        <v>143.94</v>
      </c>
      <c r="J74" s="219">
        <f t="shared" si="23"/>
        <v>154.72999999999999</v>
      </c>
      <c r="K74" s="219">
        <f t="shared" si="23"/>
        <v>145.91</v>
      </c>
      <c r="L74" s="219">
        <f t="shared" si="23"/>
        <v>156.85</v>
      </c>
      <c r="M74" s="219">
        <f t="shared" si="23"/>
        <v>0</v>
      </c>
      <c r="N74" s="219">
        <f t="shared" si="23"/>
        <v>0</v>
      </c>
      <c r="O74" s="219">
        <f t="shared" si="23"/>
        <v>139.94999999999999</v>
      </c>
    </row>
    <row r="75" spans="1:15" x14ac:dyDescent="0.2">
      <c r="A75" s="1975">
        <v>24</v>
      </c>
      <c r="B75" s="225" t="s">
        <v>97</v>
      </c>
      <c r="C75" s="221">
        <v>266372</v>
      </c>
      <c r="D75" s="214">
        <f>ROUND((C75*(1+'Løntabel gældende fra'!$D$7%)),0)</f>
        <v>286342</v>
      </c>
      <c r="E75" s="222">
        <v>271710</v>
      </c>
      <c r="F75" s="223">
        <f>ROUND((E75*(1+'Løntabel gældende fra'!$D$7%)),0)</f>
        <v>292081</v>
      </c>
      <c r="G75" s="221">
        <v>275406</v>
      </c>
      <c r="H75" s="214">
        <f>ROUND((G75*(1+'Løntabel gældende fra'!$D$7%)),0)</f>
        <v>296054</v>
      </c>
      <c r="I75" s="222">
        <v>280745</v>
      </c>
      <c r="J75" s="223">
        <f>ROUND((I75*(1+'Løntabel gældende fra'!$D$7%)),0)</f>
        <v>301793</v>
      </c>
      <c r="K75" s="221">
        <v>284441</v>
      </c>
      <c r="L75" s="214">
        <f>ROUND((K75*(1+'Løntabel gældende fra'!$D$7%)),0)</f>
        <v>305766</v>
      </c>
      <c r="M75" s="471"/>
      <c r="N75" s="449">
        <v>255037.97</v>
      </c>
      <c r="O75" s="228">
        <f>ROUND(N75*(1+'Løntabel gældende fra'!$D$7%),2)</f>
        <v>274158.68</v>
      </c>
    </row>
    <row r="76" spans="1:15" x14ac:dyDescent="0.2">
      <c r="A76" s="1976"/>
      <c r="B76" s="455" t="s">
        <v>246</v>
      </c>
      <c r="C76" s="458"/>
      <c r="D76" s="465">
        <f>ROUND(D75/12,2)</f>
        <v>23861.83</v>
      </c>
      <c r="E76" s="462">
        <f>E75/12</f>
        <v>22642.5</v>
      </c>
      <c r="F76" s="447">
        <f>ROUND(F75/12,2)</f>
        <v>24340.080000000002</v>
      </c>
      <c r="G76" s="458">
        <f>G75/12</f>
        <v>22950.5</v>
      </c>
      <c r="H76" s="465">
        <f>ROUND(H75/12,2)</f>
        <v>24671.17</v>
      </c>
      <c r="I76" s="462">
        <f>I75/12</f>
        <v>23395.416666666668</v>
      </c>
      <c r="J76" s="447">
        <f>ROUND(J75/12,2)</f>
        <v>25149.42</v>
      </c>
      <c r="K76" s="458">
        <f>K75/12</f>
        <v>23703.416666666668</v>
      </c>
      <c r="L76" s="465">
        <f>ROUND(L75/12,2)</f>
        <v>25480.5</v>
      </c>
      <c r="M76" s="470"/>
      <c r="N76" s="448"/>
      <c r="O76" s="450">
        <f>ROUND(O75/12,2)</f>
        <v>22846.560000000001</v>
      </c>
    </row>
    <row r="77" spans="1:15" ht="16" thickBot="1" x14ac:dyDescent="0.25">
      <c r="A77" s="1977"/>
      <c r="B77" s="456" t="s">
        <v>239</v>
      </c>
      <c r="C77" s="218">
        <f>C75/12</f>
        <v>22197.666666666668</v>
      </c>
      <c r="D77" s="219">
        <f>ROUND(D76/160.33,2)</f>
        <v>148.83000000000001</v>
      </c>
      <c r="E77" s="463"/>
      <c r="F77" s="219">
        <f t="shared" ref="F77:O77" si="24">ROUND(F76/160.33,2)</f>
        <v>151.81</v>
      </c>
      <c r="G77" s="219">
        <f t="shared" si="24"/>
        <v>143.15</v>
      </c>
      <c r="H77" s="219">
        <f t="shared" si="24"/>
        <v>153.88</v>
      </c>
      <c r="I77" s="219">
        <f t="shared" si="24"/>
        <v>145.91999999999999</v>
      </c>
      <c r="J77" s="219">
        <f t="shared" si="24"/>
        <v>156.86000000000001</v>
      </c>
      <c r="K77" s="219">
        <f t="shared" si="24"/>
        <v>147.84</v>
      </c>
      <c r="L77" s="219">
        <f t="shared" si="24"/>
        <v>158.93</v>
      </c>
      <c r="M77" s="219">
        <f t="shared" si="24"/>
        <v>0</v>
      </c>
      <c r="N77" s="219">
        <f t="shared" si="24"/>
        <v>0</v>
      </c>
      <c r="O77" s="219">
        <f t="shared" si="24"/>
        <v>142.5</v>
      </c>
    </row>
    <row r="78" spans="1:15" x14ac:dyDescent="0.2">
      <c r="A78" s="1978">
        <v>25</v>
      </c>
      <c r="B78" s="224" t="s">
        <v>97</v>
      </c>
      <c r="C78" s="213">
        <v>270701</v>
      </c>
      <c r="D78" s="217">
        <f>ROUND((C78*(1+'Løntabel gældende fra'!$D$7%)),0)</f>
        <v>290996</v>
      </c>
      <c r="E78" s="215">
        <v>275873</v>
      </c>
      <c r="F78" s="216">
        <f>ROUND((E78*(1+'Løntabel gældende fra'!$D$7%)),0)</f>
        <v>296556</v>
      </c>
      <c r="G78" s="213">
        <v>279454</v>
      </c>
      <c r="H78" s="217">
        <f>ROUND((G78*(1+'Løntabel gældende fra'!$D$7%)),0)</f>
        <v>300405</v>
      </c>
      <c r="I78" s="215">
        <v>284626</v>
      </c>
      <c r="J78" s="216">
        <f>ROUND((I78*(1+'Løntabel gældende fra'!$D$7%)),0)</f>
        <v>305965</v>
      </c>
      <c r="K78" s="213">
        <v>288206</v>
      </c>
      <c r="L78" s="217">
        <f>ROUND((K78*(1+'Løntabel gældende fra'!$D$7%)),0)</f>
        <v>309813</v>
      </c>
      <c r="M78" s="472"/>
      <c r="N78" s="451">
        <v>259721.7</v>
      </c>
      <c r="O78" s="452">
        <f>ROUND(N78*(1+'Løntabel gældende fra'!$D$7%),2)</f>
        <v>279193.56</v>
      </c>
    </row>
    <row r="79" spans="1:15" x14ac:dyDescent="0.2">
      <c r="A79" s="1976"/>
      <c r="B79" s="455" t="s">
        <v>246</v>
      </c>
      <c r="C79" s="458"/>
      <c r="D79" s="465">
        <f>ROUND(D78/12,2)</f>
        <v>24249.67</v>
      </c>
      <c r="E79" s="462">
        <f>E78/12</f>
        <v>22989.416666666668</v>
      </c>
      <c r="F79" s="447">
        <f>ROUND(F78/12,2)</f>
        <v>24713</v>
      </c>
      <c r="G79" s="458">
        <f>G78/12</f>
        <v>23287.833333333332</v>
      </c>
      <c r="H79" s="465">
        <f>ROUND(H78/12,2)</f>
        <v>25033.75</v>
      </c>
      <c r="I79" s="462">
        <f>I78/12</f>
        <v>23718.833333333332</v>
      </c>
      <c r="J79" s="447">
        <f>ROUND(J78/12,2)</f>
        <v>25497.08</v>
      </c>
      <c r="K79" s="458">
        <f>K78/12</f>
        <v>24017.166666666668</v>
      </c>
      <c r="L79" s="465">
        <f>ROUND(L78/12,2)</f>
        <v>25817.75</v>
      </c>
      <c r="M79" s="470"/>
      <c r="N79" s="448"/>
      <c r="O79" s="450">
        <f>ROUND(O78/12,2)</f>
        <v>23266.13</v>
      </c>
    </row>
    <row r="80" spans="1:15" ht="16" thickBot="1" x14ac:dyDescent="0.25">
      <c r="A80" s="1979"/>
      <c r="B80" s="457" t="s">
        <v>239</v>
      </c>
      <c r="C80" s="461">
        <f>C78/12</f>
        <v>22558.416666666668</v>
      </c>
      <c r="D80" s="219">
        <f>ROUND(D79/160.33,2)</f>
        <v>151.25</v>
      </c>
      <c r="E80" s="464"/>
      <c r="F80" s="219">
        <f t="shared" ref="F80:O80" si="25">ROUND(F79/160.33,2)</f>
        <v>154.13999999999999</v>
      </c>
      <c r="G80" s="219">
        <f t="shared" si="25"/>
        <v>145.25</v>
      </c>
      <c r="H80" s="219">
        <f t="shared" si="25"/>
        <v>156.13999999999999</v>
      </c>
      <c r="I80" s="219">
        <f t="shared" si="25"/>
        <v>147.94</v>
      </c>
      <c r="J80" s="219">
        <f t="shared" si="25"/>
        <v>159.03</v>
      </c>
      <c r="K80" s="219">
        <f t="shared" si="25"/>
        <v>149.80000000000001</v>
      </c>
      <c r="L80" s="219">
        <f t="shared" si="25"/>
        <v>161.03</v>
      </c>
      <c r="M80" s="219">
        <f t="shared" si="25"/>
        <v>0</v>
      </c>
      <c r="N80" s="219">
        <f t="shared" si="25"/>
        <v>0</v>
      </c>
      <c r="O80" s="219">
        <f t="shared" si="25"/>
        <v>145.11000000000001</v>
      </c>
    </row>
    <row r="81" spans="1:15" x14ac:dyDescent="0.2">
      <c r="A81" s="1975">
        <v>26</v>
      </c>
      <c r="B81" s="225" t="s">
        <v>97</v>
      </c>
      <c r="C81" s="221">
        <v>275131</v>
      </c>
      <c r="D81" s="214">
        <f>ROUND((C81*(1+'Løntabel gældende fra'!$D$7%)),0)</f>
        <v>295758</v>
      </c>
      <c r="E81" s="222">
        <v>280123</v>
      </c>
      <c r="F81" s="223">
        <f>ROUND((E81*(1+'Løntabel gældende fra'!$D$7%)),0)</f>
        <v>301124</v>
      </c>
      <c r="G81" s="221">
        <v>283580</v>
      </c>
      <c r="H81" s="214">
        <f>ROUND((G81*(1+'Løntabel gældende fra'!$D$7%)),0)</f>
        <v>304841</v>
      </c>
      <c r="I81" s="222">
        <v>288573</v>
      </c>
      <c r="J81" s="223">
        <f>ROUND((I81*(1+'Løntabel gældende fra'!$D$7%)),0)</f>
        <v>310208</v>
      </c>
      <c r="K81" s="221">
        <v>292029</v>
      </c>
      <c r="L81" s="214">
        <f>ROUND((K81*(1+'Løntabel gældende fra'!$D$7%)),0)</f>
        <v>313923</v>
      </c>
      <c r="M81" s="471"/>
      <c r="N81" s="449">
        <v>264528.59000000003</v>
      </c>
      <c r="O81" s="228">
        <f>ROUND(N81*(1+'Løntabel gældende fra'!$D$7%),2)</f>
        <v>284360.83</v>
      </c>
    </row>
    <row r="82" spans="1:15" x14ac:dyDescent="0.2">
      <c r="A82" s="1976"/>
      <c r="B82" s="455" t="s">
        <v>246</v>
      </c>
      <c r="C82" s="458"/>
      <c r="D82" s="465">
        <f>ROUND(D81/12,2)</f>
        <v>24646.5</v>
      </c>
      <c r="E82" s="462">
        <f>E81/12</f>
        <v>23343.583333333332</v>
      </c>
      <c r="F82" s="447">
        <f>ROUND(F81/12,2)</f>
        <v>25093.67</v>
      </c>
      <c r="G82" s="458">
        <f>G81/12</f>
        <v>23631.666666666668</v>
      </c>
      <c r="H82" s="465">
        <f>ROUND(H81/12,2)</f>
        <v>25403.42</v>
      </c>
      <c r="I82" s="462">
        <f>I81/12</f>
        <v>24047.75</v>
      </c>
      <c r="J82" s="447">
        <f>ROUND(J81/12,2)</f>
        <v>25850.67</v>
      </c>
      <c r="K82" s="458">
        <f>K81/12</f>
        <v>24335.75</v>
      </c>
      <c r="L82" s="465">
        <f>ROUND(L81/12,2)</f>
        <v>26160.25</v>
      </c>
      <c r="M82" s="470"/>
      <c r="N82" s="448"/>
      <c r="O82" s="450">
        <f>ROUND(O81/12,2)</f>
        <v>23696.74</v>
      </c>
    </row>
    <row r="83" spans="1:15" ht="16" thickBot="1" x14ac:dyDescent="0.25">
      <c r="A83" s="1977"/>
      <c r="B83" s="456" t="s">
        <v>239</v>
      </c>
      <c r="C83" s="218">
        <f>C81/12</f>
        <v>22927.583333333332</v>
      </c>
      <c r="D83" s="219">
        <f>ROUND(D82/160.33,2)</f>
        <v>153.72</v>
      </c>
      <c r="E83" s="463"/>
      <c r="F83" s="219">
        <f t="shared" ref="F83:O83" si="26">ROUND(F82/160.33,2)</f>
        <v>156.51</v>
      </c>
      <c r="G83" s="219">
        <f t="shared" si="26"/>
        <v>147.38999999999999</v>
      </c>
      <c r="H83" s="219">
        <f t="shared" si="26"/>
        <v>158.44</v>
      </c>
      <c r="I83" s="219">
        <f t="shared" si="26"/>
        <v>149.99</v>
      </c>
      <c r="J83" s="219">
        <f t="shared" si="26"/>
        <v>161.22999999999999</v>
      </c>
      <c r="K83" s="219">
        <f t="shared" si="26"/>
        <v>151.79</v>
      </c>
      <c r="L83" s="219">
        <f t="shared" si="26"/>
        <v>163.16999999999999</v>
      </c>
      <c r="M83" s="219">
        <f t="shared" si="26"/>
        <v>0</v>
      </c>
      <c r="N83" s="219">
        <f t="shared" si="26"/>
        <v>0</v>
      </c>
      <c r="O83" s="219">
        <f t="shared" si="26"/>
        <v>147.80000000000001</v>
      </c>
    </row>
    <row r="84" spans="1:15" x14ac:dyDescent="0.2">
      <c r="A84" s="1978">
        <v>27</v>
      </c>
      <c r="B84" s="224" t="s">
        <v>97</v>
      </c>
      <c r="C84" s="213">
        <v>279656</v>
      </c>
      <c r="D84" s="217">
        <f>ROUND((C84*(1+'Løntabel gældende fra'!$D$7%)),0)</f>
        <v>300622</v>
      </c>
      <c r="E84" s="215">
        <v>284456</v>
      </c>
      <c r="F84" s="216">
        <f>ROUND((E84*(1+'Løntabel gældende fra'!$D$7%)),0)</f>
        <v>305782</v>
      </c>
      <c r="G84" s="213">
        <v>287782</v>
      </c>
      <c r="H84" s="217">
        <f>ROUND((G84*(1+'Løntabel gældende fra'!$D$7%)),0)</f>
        <v>309358</v>
      </c>
      <c r="I84" s="215">
        <v>292583</v>
      </c>
      <c r="J84" s="216">
        <f>ROUND((I84*(1+'Løntabel gældende fra'!$D$7%)),0)</f>
        <v>314519</v>
      </c>
      <c r="K84" s="213">
        <v>295908</v>
      </c>
      <c r="L84" s="217">
        <f>ROUND((K84*(1+'Løntabel gældende fra'!$D$7%)),0)</f>
        <v>318093</v>
      </c>
      <c r="M84" s="472"/>
      <c r="N84" s="451">
        <v>269459.90000000002</v>
      </c>
      <c r="O84" s="452">
        <f>ROUND(N84*(1+'Løntabel gældende fra'!$D$7%),2)</f>
        <v>289661.84999999998</v>
      </c>
    </row>
    <row r="85" spans="1:15" x14ac:dyDescent="0.2">
      <c r="A85" s="1976"/>
      <c r="B85" s="455" t="s">
        <v>246</v>
      </c>
      <c r="C85" s="458"/>
      <c r="D85" s="465">
        <f>ROUND(D84/12,2)</f>
        <v>25051.83</v>
      </c>
      <c r="E85" s="462">
        <f>E84/12</f>
        <v>23704.666666666668</v>
      </c>
      <c r="F85" s="447">
        <f>ROUND(F84/12,2)</f>
        <v>25481.83</v>
      </c>
      <c r="G85" s="458">
        <f>G84/12</f>
        <v>23981.833333333332</v>
      </c>
      <c r="H85" s="465">
        <f>ROUND(H84/12,2)</f>
        <v>25779.83</v>
      </c>
      <c r="I85" s="462">
        <f>I84/12</f>
        <v>24381.916666666668</v>
      </c>
      <c r="J85" s="447">
        <f>ROUND(J84/12,2)</f>
        <v>26209.919999999998</v>
      </c>
      <c r="K85" s="458">
        <f>K84/12</f>
        <v>24659</v>
      </c>
      <c r="L85" s="465">
        <f>ROUND(L84/12,2)</f>
        <v>26507.75</v>
      </c>
      <c r="M85" s="470"/>
      <c r="N85" s="448"/>
      <c r="O85" s="450">
        <f>ROUND(O84/12,2)</f>
        <v>24138.49</v>
      </c>
    </row>
    <row r="86" spans="1:15" ht="16" thickBot="1" x14ac:dyDescent="0.25">
      <c r="A86" s="1979"/>
      <c r="B86" s="457" t="s">
        <v>239</v>
      </c>
      <c r="C86" s="461">
        <f>C84/12</f>
        <v>23304.666666666668</v>
      </c>
      <c r="D86" s="219">
        <f>ROUND(D85/160.33,2)</f>
        <v>156.25</v>
      </c>
      <c r="E86" s="464"/>
      <c r="F86" s="219">
        <f t="shared" ref="F86:O86" si="27">ROUND(F85/160.33,2)</f>
        <v>158.93</v>
      </c>
      <c r="G86" s="219">
        <f t="shared" si="27"/>
        <v>149.58000000000001</v>
      </c>
      <c r="H86" s="219">
        <f t="shared" si="27"/>
        <v>160.79</v>
      </c>
      <c r="I86" s="219">
        <f t="shared" si="27"/>
        <v>152.07</v>
      </c>
      <c r="J86" s="219">
        <f t="shared" si="27"/>
        <v>163.47</v>
      </c>
      <c r="K86" s="219">
        <f t="shared" si="27"/>
        <v>153.80000000000001</v>
      </c>
      <c r="L86" s="219">
        <f t="shared" si="27"/>
        <v>165.33</v>
      </c>
      <c r="M86" s="219">
        <f t="shared" si="27"/>
        <v>0</v>
      </c>
      <c r="N86" s="219">
        <f t="shared" si="27"/>
        <v>0</v>
      </c>
      <c r="O86" s="219">
        <f t="shared" si="27"/>
        <v>150.56</v>
      </c>
    </row>
    <row r="87" spans="1:15" x14ac:dyDescent="0.2">
      <c r="A87" s="1975">
        <v>28</v>
      </c>
      <c r="B87" s="225" t="s">
        <v>97</v>
      </c>
      <c r="C87" s="221">
        <v>284283</v>
      </c>
      <c r="D87" s="214">
        <f>ROUND((C87*(1+'Løntabel gældende fra'!$D$7%)),0)</f>
        <v>305596</v>
      </c>
      <c r="E87" s="222">
        <v>288881</v>
      </c>
      <c r="F87" s="223">
        <f>ROUND((E87*(1+'Løntabel gældende fra'!$D$7%)),0)</f>
        <v>310539</v>
      </c>
      <c r="G87" s="221">
        <v>292064</v>
      </c>
      <c r="H87" s="214">
        <f>ROUND((G87*(1+'Løntabel gældende fra'!$D$7%)),0)</f>
        <v>313961</v>
      </c>
      <c r="I87" s="222">
        <v>296661</v>
      </c>
      <c r="J87" s="223">
        <f>ROUND((I87*(1+'Løntabel gældende fra'!$D$7%)),0)</f>
        <v>318902</v>
      </c>
      <c r="K87" s="221">
        <v>299845</v>
      </c>
      <c r="L87" s="214">
        <f>ROUND((K87*(1+'Løntabel gældende fra'!$D$7%)),0)</f>
        <v>322325</v>
      </c>
      <c r="M87" s="471"/>
      <c r="N87" s="449">
        <v>274522.23</v>
      </c>
      <c r="O87" s="228">
        <f>ROUND(N87*(1+'Løntabel gældende fra'!$D$7%),2)</f>
        <v>295103.71000000002</v>
      </c>
    </row>
    <row r="88" spans="1:15" x14ac:dyDescent="0.2">
      <c r="A88" s="1976"/>
      <c r="B88" s="455" t="s">
        <v>246</v>
      </c>
      <c r="C88" s="458"/>
      <c r="D88" s="465">
        <f>ROUND(D87/12,2)</f>
        <v>25466.33</v>
      </c>
      <c r="E88" s="462">
        <f>E87/12</f>
        <v>24073.416666666668</v>
      </c>
      <c r="F88" s="447">
        <f>ROUND(F87/12,2)</f>
        <v>25878.25</v>
      </c>
      <c r="G88" s="458">
        <f>G87/12</f>
        <v>24338.666666666668</v>
      </c>
      <c r="H88" s="465">
        <f>ROUND(H87/12,2)</f>
        <v>26163.42</v>
      </c>
      <c r="I88" s="462">
        <f>I87/12</f>
        <v>24721.75</v>
      </c>
      <c r="J88" s="447">
        <f>ROUND(J87/12,2)</f>
        <v>26575.17</v>
      </c>
      <c r="K88" s="458">
        <f>K87/12</f>
        <v>24987.083333333332</v>
      </c>
      <c r="L88" s="465">
        <f>ROUND(L87/12,2)</f>
        <v>26860.42</v>
      </c>
      <c r="M88" s="470"/>
      <c r="N88" s="448"/>
      <c r="O88" s="450">
        <f>ROUND(O87/12,2)</f>
        <v>24591.98</v>
      </c>
    </row>
    <row r="89" spans="1:15" ht="16" thickBot="1" x14ac:dyDescent="0.25">
      <c r="A89" s="1977"/>
      <c r="B89" s="456" t="s">
        <v>239</v>
      </c>
      <c r="C89" s="218">
        <f>C87/12</f>
        <v>23690.25</v>
      </c>
      <c r="D89" s="219">
        <f>ROUND(D88/160.33,2)</f>
        <v>158.84</v>
      </c>
      <c r="E89" s="219">
        <f t="shared" ref="E89:O89" si="28">ROUND(E88/160.33,2)</f>
        <v>150.15</v>
      </c>
      <c r="F89" s="219">
        <f t="shared" si="28"/>
        <v>161.41</v>
      </c>
      <c r="G89" s="219">
        <f t="shared" si="28"/>
        <v>151.80000000000001</v>
      </c>
      <c r="H89" s="219">
        <f t="shared" si="28"/>
        <v>163.18</v>
      </c>
      <c r="I89" s="219">
        <f t="shared" si="28"/>
        <v>154.19</v>
      </c>
      <c r="J89" s="219">
        <f t="shared" si="28"/>
        <v>165.75</v>
      </c>
      <c r="K89" s="219">
        <f t="shared" si="28"/>
        <v>155.85</v>
      </c>
      <c r="L89" s="219">
        <f t="shared" si="28"/>
        <v>167.53</v>
      </c>
      <c r="M89" s="219">
        <f t="shared" si="28"/>
        <v>0</v>
      </c>
      <c r="N89" s="219">
        <f t="shared" si="28"/>
        <v>0</v>
      </c>
      <c r="O89" s="219">
        <f t="shared" si="28"/>
        <v>153.38</v>
      </c>
    </row>
    <row r="90" spans="1:15" x14ac:dyDescent="0.2">
      <c r="A90" s="1978">
        <v>29</v>
      </c>
      <c r="B90" s="224" t="s">
        <v>97</v>
      </c>
      <c r="C90" s="213">
        <v>289014</v>
      </c>
      <c r="D90" s="217">
        <f>ROUND((C90*(1+'Løntabel gældende fra'!$D$7%)),0)</f>
        <v>310682</v>
      </c>
      <c r="E90" s="215">
        <v>293394</v>
      </c>
      <c r="F90" s="216">
        <f>ROUND((E90*(1+'Løntabel gældende fra'!$D$7%)),0)</f>
        <v>315390</v>
      </c>
      <c r="G90" s="213">
        <v>296427</v>
      </c>
      <c r="H90" s="217">
        <f>ROUND((G90*(1+'Løntabel gældende fra'!$D$7%)),0)</f>
        <v>318651</v>
      </c>
      <c r="I90" s="215">
        <v>300807</v>
      </c>
      <c r="J90" s="216">
        <f>ROUND((I90*(1+'Løntabel gældende fra'!$D$7%)),0)</f>
        <v>323359</v>
      </c>
      <c r="K90" s="213">
        <v>303839</v>
      </c>
      <c r="L90" s="217">
        <f>ROUND((K90*(1+'Løntabel gældende fra'!$D$7%)),0)</f>
        <v>326618</v>
      </c>
      <c r="M90" s="472"/>
      <c r="N90" s="451">
        <v>279714.99</v>
      </c>
      <c r="O90" s="452">
        <f>ROUND(N90*(1+'Løntabel gældende fra'!$D$7%),2)</f>
        <v>300685.78000000003</v>
      </c>
    </row>
    <row r="91" spans="1:15" x14ac:dyDescent="0.2">
      <c r="A91" s="1976"/>
      <c r="B91" s="455" t="s">
        <v>246</v>
      </c>
      <c r="C91" s="458"/>
      <c r="D91" s="465">
        <f>ROUND(D90/12,2)</f>
        <v>25890.17</v>
      </c>
      <c r="E91" s="462">
        <f>E90/12</f>
        <v>24449.5</v>
      </c>
      <c r="F91" s="447">
        <f>ROUND(F90/12,2)</f>
        <v>26282.5</v>
      </c>
      <c r="G91" s="458">
        <f>G90/12</f>
        <v>24702.25</v>
      </c>
      <c r="H91" s="465">
        <f>ROUND(H90/12,2)</f>
        <v>26554.25</v>
      </c>
      <c r="I91" s="462">
        <f>I90/12</f>
        <v>25067.25</v>
      </c>
      <c r="J91" s="447">
        <f>ROUND(J90/12,2)</f>
        <v>26946.58</v>
      </c>
      <c r="K91" s="458">
        <f>K90/12</f>
        <v>25319.916666666668</v>
      </c>
      <c r="L91" s="465">
        <f>ROUND(L90/12,2)</f>
        <v>27218.17</v>
      </c>
      <c r="M91" s="470"/>
      <c r="N91" s="448"/>
      <c r="O91" s="450">
        <f>ROUND(O90/12,2)</f>
        <v>25057.15</v>
      </c>
    </row>
    <row r="92" spans="1:15" ht="16" thickBot="1" x14ac:dyDescent="0.25">
      <c r="A92" s="1979"/>
      <c r="B92" s="457" t="s">
        <v>239</v>
      </c>
      <c r="C92" s="461">
        <f>C90/12</f>
        <v>24084.5</v>
      </c>
      <c r="D92" s="219">
        <f>ROUND(D91/160.33,2)</f>
        <v>161.47999999999999</v>
      </c>
      <c r="E92" s="464"/>
      <c r="F92" s="219">
        <f t="shared" ref="F92:O92" si="29">ROUND(F91/160.33,2)</f>
        <v>163.93</v>
      </c>
      <c r="G92" s="219">
        <f t="shared" si="29"/>
        <v>154.07</v>
      </c>
      <c r="H92" s="219">
        <f t="shared" si="29"/>
        <v>165.62</v>
      </c>
      <c r="I92" s="219">
        <f t="shared" si="29"/>
        <v>156.35</v>
      </c>
      <c r="J92" s="219">
        <f t="shared" si="29"/>
        <v>168.07</v>
      </c>
      <c r="K92" s="219">
        <f t="shared" si="29"/>
        <v>157.91999999999999</v>
      </c>
      <c r="L92" s="219">
        <f t="shared" si="29"/>
        <v>169.76</v>
      </c>
      <c r="M92" s="219">
        <f t="shared" si="29"/>
        <v>0</v>
      </c>
      <c r="N92" s="219">
        <f t="shared" si="29"/>
        <v>0</v>
      </c>
      <c r="O92" s="219">
        <f t="shared" si="29"/>
        <v>156.28</v>
      </c>
    </row>
    <row r="93" spans="1:15" x14ac:dyDescent="0.2">
      <c r="A93" s="1975">
        <v>30</v>
      </c>
      <c r="B93" s="225" t="s">
        <v>97</v>
      </c>
      <c r="C93" s="221">
        <v>293853</v>
      </c>
      <c r="D93" s="214">
        <f>ROUND((C93*(1+'Løntabel gældende fra'!$D$7%)),0)</f>
        <v>315884</v>
      </c>
      <c r="E93" s="222">
        <v>298001</v>
      </c>
      <c r="F93" s="223">
        <f>ROUND((E93*(1+'Løntabel gældende fra'!$D$7%)),0)</f>
        <v>320343</v>
      </c>
      <c r="G93" s="221">
        <v>300872</v>
      </c>
      <c r="H93" s="214">
        <f>ROUND((G93*(1+'Løntabel gældende fra'!$D$7%)),0)</f>
        <v>323429</v>
      </c>
      <c r="I93" s="222">
        <v>305018</v>
      </c>
      <c r="J93" s="223">
        <f>ROUND((I93*(1+'Løntabel gældende fra'!$D$7%)),0)</f>
        <v>327886</v>
      </c>
      <c r="K93" s="221">
        <v>307890</v>
      </c>
      <c r="L93" s="214">
        <f>ROUND((K93*(1+'Løntabel gældende fra'!$D$7%)),0)</f>
        <v>330973</v>
      </c>
      <c r="M93" s="471"/>
      <c r="N93" s="449">
        <v>285044.74</v>
      </c>
      <c r="O93" s="228">
        <f>ROUND(N93*(1+'Løntabel gældende fra'!$D$7%),2)</f>
        <v>306415.11</v>
      </c>
    </row>
    <row r="94" spans="1:15" x14ac:dyDescent="0.2">
      <c r="A94" s="1976"/>
      <c r="B94" s="455" t="s">
        <v>98</v>
      </c>
      <c r="C94" s="458"/>
      <c r="D94" s="465">
        <f>ROUND(D93/12,2)</f>
        <v>26323.67</v>
      </c>
      <c r="E94" s="462">
        <f>E93/12</f>
        <v>24833.416666666668</v>
      </c>
      <c r="F94" s="447">
        <f>ROUND(F93/12,2)</f>
        <v>26695.25</v>
      </c>
      <c r="G94" s="458">
        <f>G93/12</f>
        <v>25072.666666666668</v>
      </c>
      <c r="H94" s="465">
        <f>ROUND(H93/12,2)</f>
        <v>26952.42</v>
      </c>
      <c r="I94" s="462">
        <f>I93/12</f>
        <v>25418.166666666668</v>
      </c>
      <c r="J94" s="447">
        <f>ROUND(J93/12,2)</f>
        <v>27323.83</v>
      </c>
      <c r="K94" s="458">
        <f>K93/12</f>
        <v>25657.5</v>
      </c>
      <c r="L94" s="465">
        <f>ROUND(L93/12,2)</f>
        <v>27581.08</v>
      </c>
      <c r="M94" s="470"/>
      <c r="N94" s="448"/>
      <c r="O94" s="450">
        <f>ROUND(O93/12,2)</f>
        <v>25534.59</v>
      </c>
    </row>
    <row r="95" spans="1:15" ht="16" thickBot="1" x14ac:dyDescent="0.25">
      <c r="A95" s="1977"/>
      <c r="B95" s="456" t="s">
        <v>239</v>
      </c>
      <c r="C95" s="218">
        <f>C93/12</f>
        <v>24487.75</v>
      </c>
      <c r="D95" s="219">
        <f>ROUND(D94/160.33,2)</f>
        <v>164.18</v>
      </c>
      <c r="E95" s="463"/>
      <c r="F95" s="219">
        <f t="shared" ref="F95:O95" si="30">ROUND(F94/160.33,2)</f>
        <v>166.5</v>
      </c>
      <c r="G95" s="219">
        <f t="shared" si="30"/>
        <v>156.38</v>
      </c>
      <c r="H95" s="219">
        <f t="shared" si="30"/>
        <v>168.11</v>
      </c>
      <c r="I95" s="219">
        <f t="shared" si="30"/>
        <v>158.54</v>
      </c>
      <c r="J95" s="219">
        <f t="shared" si="30"/>
        <v>170.42</v>
      </c>
      <c r="K95" s="219">
        <f t="shared" si="30"/>
        <v>160.03</v>
      </c>
      <c r="L95" s="219">
        <f t="shared" si="30"/>
        <v>172.03</v>
      </c>
      <c r="M95" s="219">
        <f t="shared" si="30"/>
        <v>0</v>
      </c>
      <c r="N95" s="219">
        <f t="shared" si="30"/>
        <v>0</v>
      </c>
      <c r="O95" s="219">
        <f t="shared" si="30"/>
        <v>159.26</v>
      </c>
    </row>
    <row r="96" spans="1:15" x14ac:dyDescent="0.2">
      <c r="A96" s="1978">
        <v>31</v>
      </c>
      <c r="B96" s="224" t="s">
        <v>97</v>
      </c>
      <c r="C96" s="213">
        <v>298795</v>
      </c>
      <c r="D96" s="217">
        <f>ROUND((C96*(1+'Løntabel gældende fra'!$D$7%)),0)</f>
        <v>321196</v>
      </c>
      <c r="E96" s="215">
        <v>302696</v>
      </c>
      <c r="F96" s="216">
        <f>ROUND((E96*(1+'Løntabel gældende fra'!$D$7%)),0)</f>
        <v>325390</v>
      </c>
      <c r="G96" s="213">
        <v>305398</v>
      </c>
      <c r="H96" s="217">
        <f>ROUND((G96*(1+'Løntabel gældende fra'!$D$7%)),0)</f>
        <v>328294</v>
      </c>
      <c r="I96" s="215">
        <v>309299</v>
      </c>
      <c r="J96" s="216">
        <f>ROUND((I96*(1+'Løntabel gældende fra'!$D$7%)),0)</f>
        <v>332488</v>
      </c>
      <c r="K96" s="213">
        <v>312000</v>
      </c>
      <c r="L96" s="217">
        <f>ROUND((K96*(1+'Løntabel gældende fra'!$D$7%)),0)</f>
        <v>335391</v>
      </c>
      <c r="M96" s="472"/>
      <c r="N96" s="451">
        <v>290512.64000000001</v>
      </c>
      <c r="O96" s="452">
        <f>ROUND(N96*(1+'Løntabel gældende fra'!$D$7%),2)</f>
        <v>312292.95</v>
      </c>
    </row>
    <row r="97" spans="1:15" x14ac:dyDescent="0.2">
      <c r="A97" s="1976"/>
      <c r="B97" s="455" t="s">
        <v>246</v>
      </c>
      <c r="C97" s="458"/>
      <c r="D97" s="465">
        <f>ROUND(D96/12,2)</f>
        <v>26766.33</v>
      </c>
      <c r="E97" s="462">
        <f>E96/12</f>
        <v>25224.666666666668</v>
      </c>
      <c r="F97" s="447">
        <f>ROUND(F96/12,2)</f>
        <v>27115.83</v>
      </c>
      <c r="G97" s="458">
        <f>G96/12</f>
        <v>25449.833333333332</v>
      </c>
      <c r="H97" s="465">
        <f>ROUND(H96/12,2)</f>
        <v>27357.83</v>
      </c>
      <c r="I97" s="462">
        <f>I96/12</f>
        <v>25774.916666666668</v>
      </c>
      <c r="J97" s="447">
        <f>ROUND(J96/12,2)</f>
        <v>27707.33</v>
      </c>
      <c r="K97" s="458">
        <f>K96/12</f>
        <v>26000</v>
      </c>
      <c r="L97" s="465">
        <f>ROUND(L96/12,2)</f>
        <v>27949.25</v>
      </c>
      <c r="M97" s="470"/>
      <c r="N97" s="448"/>
      <c r="O97" s="450">
        <f>ROUND(O96/12,2)</f>
        <v>26024.41</v>
      </c>
    </row>
    <row r="98" spans="1:15" ht="16" thickBot="1" x14ac:dyDescent="0.25">
      <c r="A98" s="1979"/>
      <c r="B98" s="457" t="s">
        <v>239</v>
      </c>
      <c r="C98" s="461">
        <f>C96/12</f>
        <v>24899.583333333332</v>
      </c>
      <c r="D98" s="219">
        <f>ROUND(D97/160.33,2)</f>
        <v>166.95</v>
      </c>
      <c r="E98" s="464"/>
      <c r="F98" s="219">
        <f t="shared" ref="F98:O98" si="31">ROUND(F97/160.33,2)</f>
        <v>169.13</v>
      </c>
      <c r="G98" s="219">
        <f t="shared" si="31"/>
        <v>158.72999999999999</v>
      </c>
      <c r="H98" s="219">
        <f t="shared" si="31"/>
        <v>170.63</v>
      </c>
      <c r="I98" s="219">
        <f t="shared" si="31"/>
        <v>160.76</v>
      </c>
      <c r="J98" s="219">
        <f t="shared" si="31"/>
        <v>172.81</v>
      </c>
      <c r="K98" s="219">
        <f t="shared" si="31"/>
        <v>162.16999999999999</v>
      </c>
      <c r="L98" s="219">
        <f t="shared" si="31"/>
        <v>174.32</v>
      </c>
      <c r="M98" s="219">
        <f t="shared" si="31"/>
        <v>0</v>
      </c>
      <c r="N98" s="219">
        <f t="shared" si="31"/>
        <v>0</v>
      </c>
      <c r="O98" s="219">
        <f t="shared" si="31"/>
        <v>162.32</v>
      </c>
    </row>
    <row r="99" spans="1:15" x14ac:dyDescent="0.2">
      <c r="A99" s="1975">
        <v>32</v>
      </c>
      <c r="B99" s="225" t="s">
        <v>97</v>
      </c>
      <c r="C99" s="221">
        <v>303852</v>
      </c>
      <c r="D99" s="214">
        <f>ROUND((C99*(1+'Løntabel gældende fra'!$D$7%)),0)</f>
        <v>326632</v>
      </c>
      <c r="E99" s="222">
        <v>307490</v>
      </c>
      <c r="F99" s="223">
        <f>ROUND((E99*(1+'Løntabel gældende fra'!$D$7%)),0)</f>
        <v>330543</v>
      </c>
      <c r="G99" s="221">
        <v>310009</v>
      </c>
      <c r="H99" s="214">
        <f>ROUND((G99*(1+'Løntabel gældende fra'!$D$7%)),0)</f>
        <v>333251</v>
      </c>
      <c r="I99" s="222">
        <v>313649</v>
      </c>
      <c r="J99" s="223">
        <f>ROUND((I99*(1+'Løntabel gældende fra'!$D$7%)),0)</f>
        <v>337164</v>
      </c>
      <c r="K99" s="221">
        <v>316167</v>
      </c>
      <c r="L99" s="214">
        <f>ROUND((K99*(1+'Løntabel gældende fra'!$D$7%)),0)</f>
        <v>339871</v>
      </c>
      <c r="M99" s="471"/>
      <c r="N99" s="449">
        <v>296125.21000000002</v>
      </c>
      <c r="O99" s="228">
        <f>ROUND(N99*(1+'Løntabel gældende fra'!$D$7%),2)</f>
        <v>318326.31</v>
      </c>
    </row>
    <row r="100" spans="1:15" x14ac:dyDescent="0.2">
      <c r="A100" s="1976"/>
      <c r="B100" s="455" t="s">
        <v>98</v>
      </c>
      <c r="C100" s="458"/>
      <c r="D100" s="465">
        <f>ROUND(D99/12,2)</f>
        <v>27219.33</v>
      </c>
      <c r="E100" s="462">
        <f>E99/12</f>
        <v>25624.166666666668</v>
      </c>
      <c r="F100" s="447">
        <f>ROUND(F99/12,2)</f>
        <v>27545.25</v>
      </c>
      <c r="G100" s="458">
        <f>G99/12</f>
        <v>25834.083333333332</v>
      </c>
      <c r="H100" s="465">
        <f>ROUND(H99/12,2)</f>
        <v>27770.92</v>
      </c>
      <c r="I100" s="462">
        <f>I99/12</f>
        <v>26137.416666666668</v>
      </c>
      <c r="J100" s="447">
        <f>ROUND(J99/12,2)</f>
        <v>28097</v>
      </c>
      <c r="K100" s="458">
        <f>K99/12</f>
        <v>26347.25</v>
      </c>
      <c r="L100" s="465">
        <f>ROUND(L99/12,2)</f>
        <v>28322.58</v>
      </c>
      <c r="M100" s="470"/>
      <c r="N100" s="448"/>
      <c r="O100" s="450">
        <f>ROUND(O99/12,2)</f>
        <v>26527.19</v>
      </c>
    </row>
    <row r="101" spans="1:15" ht="16" thickBot="1" x14ac:dyDescent="0.25">
      <c r="A101" s="1977"/>
      <c r="B101" s="456" t="s">
        <v>239</v>
      </c>
      <c r="C101" s="218">
        <f>C99/12</f>
        <v>25321</v>
      </c>
      <c r="D101" s="219">
        <f>ROUND(D100/160.33,2)</f>
        <v>169.77</v>
      </c>
      <c r="E101" s="463"/>
      <c r="F101" s="219">
        <f t="shared" ref="F101:O101" si="32">ROUND(F100/160.33,2)</f>
        <v>171.8</v>
      </c>
      <c r="G101" s="219">
        <f t="shared" si="32"/>
        <v>161.13</v>
      </c>
      <c r="H101" s="219">
        <f t="shared" si="32"/>
        <v>173.21</v>
      </c>
      <c r="I101" s="219">
        <f t="shared" si="32"/>
        <v>163.02000000000001</v>
      </c>
      <c r="J101" s="219">
        <f t="shared" si="32"/>
        <v>175.24</v>
      </c>
      <c r="K101" s="219">
        <f t="shared" si="32"/>
        <v>164.33</v>
      </c>
      <c r="L101" s="219">
        <f t="shared" si="32"/>
        <v>176.65</v>
      </c>
      <c r="M101" s="219">
        <f t="shared" si="32"/>
        <v>0</v>
      </c>
      <c r="N101" s="219">
        <f t="shared" si="32"/>
        <v>0</v>
      </c>
      <c r="O101" s="219">
        <f t="shared" si="32"/>
        <v>165.45</v>
      </c>
    </row>
    <row r="102" spans="1:15" x14ac:dyDescent="0.2">
      <c r="A102" s="1978">
        <v>33</v>
      </c>
      <c r="B102" s="224" t="s">
        <v>97</v>
      </c>
      <c r="C102" s="213">
        <v>309016</v>
      </c>
      <c r="D102" s="217">
        <f>ROUND((C102*(1+'Løntabel gældende fra'!$D$7%)),0)</f>
        <v>332184</v>
      </c>
      <c r="E102" s="215">
        <v>312375</v>
      </c>
      <c r="F102" s="216">
        <f>ROUND((E102*(1+'Løntabel gældende fra'!$D$7%)),0)</f>
        <v>335794</v>
      </c>
      <c r="G102" s="213">
        <v>314703</v>
      </c>
      <c r="H102" s="217">
        <f>ROUND((G102*(1+'Løntabel gældende fra'!$D$7%)),0)</f>
        <v>338297</v>
      </c>
      <c r="I102" s="215">
        <v>318063</v>
      </c>
      <c r="J102" s="216">
        <f>ROUND((I102*(1+'Løntabel gældende fra'!$D$7%)),0)</f>
        <v>341909</v>
      </c>
      <c r="K102" s="213">
        <v>320390</v>
      </c>
      <c r="L102" s="217">
        <f>ROUND((K102*(1+'Løntabel gældende fra'!$D$7%)),0)</f>
        <v>344410</v>
      </c>
      <c r="M102" s="472"/>
      <c r="N102" s="451">
        <v>301881.8</v>
      </c>
      <c r="O102" s="452">
        <f>ROUND(N102*(1+'Løntabel gældende fra'!$D$7%),2)</f>
        <v>324514.48</v>
      </c>
    </row>
    <row r="103" spans="1:15" x14ac:dyDescent="0.2">
      <c r="A103" s="1976"/>
      <c r="B103" s="455" t="s">
        <v>246</v>
      </c>
      <c r="C103" s="458"/>
      <c r="D103" s="465">
        <f>ROUND(D102/12,2)</f>
        <v>27682</v>
      </c>
      <c r="E103" s="462">
        <f>E102/12</f>
        <v>26031.25</v>
      </c>
      <c r="F103" s="447">
        <f>ROUND(F102/12,2)</f>
        <v>27982.83</v>
      </c>
      <c r="G103" s="458">
        <f>G102/12</f>
        <v>26225.25</v>
      </c>
      <c r="H103" s="465">
        <f>ROUND(H102/12,2)</f>
        <v>28191.42</v>
      </c>
      <c r="I103" s="462">
        <f>I102/12</f>
        <v>26505.25</v>
      </c>
      <c r="J103" s="447">
        <f>ROUND(J102/12,2)</f>
        <v>28492.42</v>
      </c>
      <c r="K103" s="458">
        <f>K102/12</f>
        <v>26699.166666666668</v>
      </c>
      <c r="L103" s="465">
        <f>ROUND(L102/12,2)</f>
        <v>28700.83</v>
      </c>
      <c r="M103" s="470"/>
      <c r="N103" s="448"/>
      <c r="O103" s="450">
        <f>ROUND(O102/12,2)</f>
        <v>27042.87</v>
      </c>
    </row>
    <row r="104" spans="1:15" ht="16" thickBot="1" x14ac:dyDescent="0.25">
      <c r="A104" s="1979"/>
      <c r="B104" s="457" t="s">
        <v>239</v>
      </c>
      <c r="C104" s="461">
        <f>C102/12</f>
        <v>25751.333333333332</v>
      </c>
      <c r="D104" s="219">
        <f>ROUND(D103/160.33,2)</f>
        <v>172.66</v>
      </c>
      <c r="E104" s="464"/>
      <c r="F104" s="219">
        <f t="shared" ref="F104:O104" si="33">ROUND(F103/160.33,2)</f>
        <v>174.53</v>
      </c>
      <c r="G104" s="219">
        <f t="shared" si="33"/>
        <v>163.57</v>
      </c>
      <c r="H104" s="219">
        <f t="shared" si="33"/>
        <v>175.83</v>
      </c>
      <c r="I104" s="219">
        <f t="shared" si="33"/>
        <v>165.32</v>
      </c>
      <c r="J104" s="219">
        <f t="shared" si="33"/>
        <v>177.71</v>
      </c>
      <c r="K104" s="219">
        <f t="shared" si="33"/>
        <v>166.53</v>
      </c>
      <c r="L104" s="219">
        <f t="shared" si="33"/>
        <v>179.01</v>
      </c>
      <c r="M104" s="219">
        <f t="shared" si="33"/>
        <v>0</v>
      </c>
      <c r="N104" s="219">
        <f t="shared" si="33"/>
        <v>0</v>
      </c>
      <c r="O104" s="219">
        <f t="shared" si="33"/>
        <v>168.67</v>
      </c>
    </row>
    <row r="105" spans="1:15" x14ac:dyDescent="0.2">
      <c r="A105" s="1975">
        <v>34</v>
      </c>
      <c r="B105" s="225" t="s">
        <v>97</v>
      </c>
      <c r="C105" s="221">
        <v>314298</v>
      </c>
      <c r="D105" s="214">
        <f>ROUND((C105*(1+'Løntabel gældende fra'!$D$7%)),0)</f>
        <v>337862</v>
      </c>
      <c r="E105" s="222">
        <v>317363</v>
      </c>
      <c r="F105" s="223">
        <f>ROUND((E105*(1+'Løntabel gældende fra'!$D$7%)),0)</f>
        <v>341156</v>
      </c>
      <c r="G105" s="221">
        <v>319485</v>
      </c>
      <c r="H105" s="214">
        <f>ROUND((G105*(1+'Løntabel gældende fra'!$D$7%)),0)</f>
        <v>343437</v>
      </c>
      <c r="I105" s="222">
        <v>322548</v>
      </c>
      <c r="J105" s="223">
        <f>ROUND((I105*(1+'Løntabel gældende fra'!$D$7%)),0)</f>
        <v>346730</v>
      </c>
      <c r="K105" s="221">
        <v>324670</v>
      </c>
      <c r="L105" s="214">
        <f>ROUND((K105*(1+'Løntabel gældende fra'!$D$7%)),0)</f>
        <v>349011</v>
      </c>
      <c r="M105" s="471"/>
      <c r="N105" s="449">
        <v>307790.62</v>
      </c>
      <c r="O105" s="228">
        <f>ROUND(N105*(1+'Løntabel gældende fra'!$D$7%),2)</f>
        <v>330866.3</v>
      </c>
    </row>
    <row r="106" spans="1:15" x14ac:dyDescent="0.2">
      <c r="A106" s="1976"/>
      <c r="B106" s="455" t="s">
        <v>246</v>
      </c>
      <c r="C106" s="458"/>
      <c r="D106" s="465">
        <f>ROUND(D105/12,2)</f>
        <v>28155.17</v>
      </c>
      <c r="E106" s="462">
        <f>E105/12</f>
        <v>26446.916666666668</v>
      </c>
      <c r="F106" s="447">
        <f>ROUND(F105/12,2)</f>
        <v>28429.67</v>
      </c>
      <c r="G106" s="458">
        <f>G105/12</f>
        <v>26623.75</v>
      </c>
      <c r="H106" s="465">
        <f>ROUND(H105/12,2)</f>
        <v>28619.75</v>
      </c>
      <c r="I106" s="462">
        <f>I105/12</f>
        <v>26879</v>
      </c>
      <c r="J106" s="447">
        <f>ROUND(J105/12,2)</f>
        <v>28894.17</v>
      </c>
      <c r="K106" s="458">
        <f>K105/12</f>
        <v>27055.833333333332</v>
      </c>
      <c r="L106" s="465">
        <f>ROUND(L105/12,2)</f>
        <v>29084.25</v>
      </c>
      <c r="M106" s="470"/>
      <c r="N106" s="448"/>
      <c r="O106" s="450">
        <f>ROUND(O105/12,2)</f>
        <v>27572.19</v>
      </c>
    </row>
    <row r="107" spans="1:15" ht="16" thickBot="1" x14ac:dyDescent="0.25">
      <c r="A107" s="1977"/>
      <c r="B107" s="456" t="s">
        <v>239</v>
      </c>
      <c r="C107" s="218">
        <f>C105/12</f>
        <v>26191.5</v>
      </c>
      <c r="D107" s="219">
        <f>ROUND(D106/160.33,2)</f>
        <v>175.61</v>
      </c>
      <c r="E107" s="463"/>
      <c r="F107" s="219">
        <f t="shared" ref="F107:O107" si="34">ROUND(F106/160.33,2)</f>
        <v>177.32</v>
      </c>
      <c r="G107" s="219">
        <f t="shared" si="34"/>
        <v>166.06</v>
      </c>
      <c r="H107" s="219">
        <f t="shared" si="34"/>
        <v>178.51</v>
      </c>
      <c r="I107" s="219">
        <f t="shared" si="34"/>
        <v>167.65</v>
      </c>
      <c r="J107" s="219">
        <f t="shared" si="34"/>
        <v>180.22</v>
      </c>
      <c r="K107" s="219">
        <f t="shared" si="34"/>
        <v>168.75</v>
      </c>
      <c r="L107" s="219">
        <f t="shared" si="34"/>
        <v>181.4</v>
      </c>
      <c r="M107" s="219">
        <f t="shared" si="34"/>
        <v>0</v>
      </c>
      <c r="N107" s="219">
        <f t="shared" si="34"/>
        <v>0</v>
      </c>
      <c r="O107" s="219">
        <f t="shared" si="34"/>
        <v>171.97</v>
      </c>
    </row>
    <row r="108" spans="1:15" x14ac:dyDescent="0.2">
      <c r="A108" s="1978">
        <v>35</v>
      </c>
      <c r="B108" s="224" t="s">
        <v>97</v>
      </c>
      <c r="C108" s="213">
        <v>319697</v>
      </c>
      <c r="D108" s="217">
        <f>ROUND((C108*(1+'Løntabel gældende fra'!$D$7%)),0)</f>
        <v>343665</v>
      </c>
      <c r="E108" s="215">
        <v>322450</v>
      </c>
      <c r="F108" s="216">
        <f>ROUND((E108*(1+'Løntabel gældende fra'!$D$7%)),0)</f>
        <v>346625</v>
      </c>
      <c r="G108" s="213">
        <v>324354</v>
      </c>
      <c r="H108" s="217">
        <f>ROUND((G108*(1+'Løntabel gældende fra'!$D$7%)),0)</f>
        <v>348671</v>
      </c>
      <c r="I108" s="215">
        <v>327107</v>
      </c>
      <c r="J108" s="216">
        <f>ROUND((I108*(1+'Løntabel gældende fra'!$D$7%)),0)</f>
        <v>351631</v>
      </c>
      <c r="K108" s="213">
        <v>329011</v>
      </c>
      <c r="L108" s="217">
        <f>ROUND((K108*(1+'Løntabel gældende fra'!$D$7%)),0)</f>
        <v>353678</v>
      </c>
      <c r="M108" s="472"/>
      <c r="N108" s="451">
        <v>313854.56</v>
      </c>
      <c r="O108" s="452">
        <f>ROUND(N108*(1+'Løntabel gældende fra'!$D$7%),2)</f>
        <v>337384.86</v>
      </c>
    </row>
    <row r="109" spans="1:15" x14ac:dyDescent="0.2">
      <c r="A109" s="1976"/>
      <c r="B109" s="455" t="s">
        <v>246</v>
      </c>
      <c r="C109" s="458"/>
      <c r="D109" s="465">
        <f>ROUND(D108/12,2)</f>
        <v>28638.75</v>
      </c>
      <c r="E109" s="462">
        <f>E108/12</f>
        <v>26870.833333333332</v>
      </c>
      <c r="F109" s="447">
        <f>ROUND(F108/12,2)</f>
        <v>28885.42</v>
      </c>
      <c r="G109" s="458">
        <f>G108/12</f>
        <v>27029.5</v>
      </c>
      <c r="H109" s="465">
        <f>ROUND(H108/12,2)</f>
        <v>29055.919999999998</v>
      </c>
      <c r="I109" s="462">
        <f>I108/12</f>
        <v>27258.916666666668</v>
      </c>
      <c r="J109" s="447">
        <f>ROUND(J108/12,2)</f>
        <v>29302.58</v>
      </c>
      <c r="K109" s="458">
        <f>K108/12</f>
        <v>27417.583333333332</v>
      </c>
      <c r="L109" s="465">
        <f>ROUND(L108/12,2)</f>
        <v>29473.17</v>
      </c>
      <c r="M109" s="470"/>
      <c r="N109" s="448"/>
      <c r="O109" s="450">
        <f>ROUND(O108/12,2)</f>
        <v>28115.41</v>
      </c>
    </row>
    <row r="110" spans="1:15" ht="16" thickBot="1" x14ac:dyDescent="0.25">
      <c r="A110" s="1979"/>
      <c r="B110" s="457" t="s">
        <v>239</v>
      </c>
      <c r="C110" s="461">
        <f>C108/12</f>
        <v>26641.416666666668</v>
      </c>
      <c r="D110" s="219">
        <f>ROUND(D109/160.33,2)</f>
        <v>178.62</v>
      </c>
      <c r="E110" s="464"/>
      <c r="F110" s="219">
        <f t="shared" ref="F110:O110" si="35">ROUND(F109/160.33,2)</f>
        <v>180.16</v>
      </c>
      <c r="G110" s="219">
        <f t="shared" si="35"/>
        <v>168.59</v>
      </c>
      <c r="H110" s="219">
        <f t="shared" si="35"/>
        <v>181.23</v>
      </c>
      <c r="I110" s="219">
        <f t="shared" si="35"/>
        <v>170.02</v>
      </c>
      <c r="J110" s="219">
        <f t="shared" si="35"/>
        <v>182.76</v>
      </c>
      <c r="K110" s="219">
        <f t="shared" si="35"/>
        <v>171.01</v>
      </c>
      <c r="L110" s="219">
        <f t="shared" si="35"/>
        <v>183.83</v>
      </c>
      <c r="M110" s="219">
        <f t="shared" si="35"/>
        <v>0</v>
      </c>
      <c r="N110" s="219">
        <f t="shared" si="35"/>
        <v>0</v>
      </c>
      <c r="O110" s="219">
        <f t="shared" si="35"/>
        <v>175.36</v>
      </c>
    </row>
    <row r="111" spans="1:15" x14ac:dyDescent="0.2">
      <c r="A111" s="1975">
        <v>36</v>
      </c>
      <c r="B111" s="225" t="s">
        <v>97</v>
      </c>
      <c r="C111" s="221">
        <v>325214</v>
      </c>
      <c r="D111" s="214">
        <f>ROUND((C111*(1+'Løntabel gældende fra'!$D$7%)),0)</f>
        <v>349596</v>
      </c>
      <c r="E111" s="222">
        <v>327634</v>
      </c>
      <c r="F111" s="223">
        <f>ROUND((E111*(1+'Løntabel gældende fra'!$D$7%)),0)</f>
        <v>352197</v>
      </c>
      <c r="G111" s="221">
        <v>329310</v>
      </c>
      <c r="H111" s="214">
        <f>ROUND((G111*(1+'Løntabel gældende fra'!$D$7%)),0)</f>
        <v>353999</v>
      </c>
      <c r="I111" s="222">
        <v>331731</v>
      </c>
      <c r="J111" s="223">
        <f>ROUND((I111*(1+'Løntabel gældende fra'!$D$7%)),0)</f>
        <v>356602</v>
      </c>
      <c r="K111" s="221">
        <v>333406</v>
      </c>
      <c r="L111" s="214">
        <f>ROUND((K111*(1+'Løntabel gældende fra'!$D$7%)),0)</f>
        <v>358402</v>
      </c>
      <c r="M111" s="471"/>
      <c r="N111" s="449">
        <v>320074.68</v>
      </c>
      <c r="O111" s="228">
        <f>ROUND(N111*(1+'Løntabel gældende fra'!$D$7%),2)</f>
        <v>344071.32</v>
      </c>
    </row>
    <row r="112" spans="1:15" x14ac:dyDescent="0.2">
      <c r="A112" s="1976"/>
      <c r="B112" s="455" t="s">
        <v>246</v>
      </c>
      <c r="C112" s="458"/>
      <c r="D112" s="465">
        <f>ROUND(D111/12,2)</f>
        <v>29133</v>
      </c>
      <c r="E112" s="462">
        <f>E111/12</f>
        <v>27302.833333333332</v>
      </c>
      <c r="F112" s="447">
        <f>ROUND(F111/12,2)</f>
        <v>29349.75</v>
      </c>
      <c r="G112" s="458">
        <f>G111/12</f>
        <v>27442.5</v>
      </c>
      <c r="H112" s="465">
        <f>ROUND(H111/12,2)</f>
        <v>29499.919999999998</v>
      </c>
      <c r="I112" s="462">
        <f>I111/12</f>
        <v>27644.25</v>
      </c>
      <c r="J112" s="447">
        <f>ROUND(J111/12,2)</f>
        <v>29716.83</v>
      </c>
      <c r="K112" s="458">
        <f>K111/12</f>
        <v>27783.833333333332</v>
      </c>
      <c r="L112" s="465">
        <f>ROUND(L111/12,2)</f>
        <v>29866.83</v>
      </c>
      <c r="M112" s="470"/>
      <c r="N112" s="448"/>
      <c r="O112" s="450">
        <f>ROUND(O111/12,2)</f>
        <v>28672.61</v>
      </c>
    </row>
    <row r="113" spans="1:15" ht="16" thickBot="1" x14ac:dyDescent="0.25">
      <c r="A113" s="1977"/>
      <c r="B113" s="456" t="s">
        <v>239</v>
      </c>
      <c r="C113" s="218">
        <f>C111/12</f>
        <v>27101.166666666668</v>
      </c>
      <c r="D113" s="219">
        <f>ROUND(D112/160.33,2)</f>
        <v>181.71</v>
      </c>
      <c r="E113" s="463"/>
      <c r="F113" s="219">
        <f t="shared" ref="F113:O113" si="36">ROUND(F112/160.33,2)</f>
        <v>183.06</v>
      </c>
      <c r="G113" s="219">
        <f t="shared" si="36"/>
        <v>171.16</v>
      </c>
      <c r="H113" s="219">
        <f t="shared" si="36"/>
        <v>184</v>
      </c>
      <c r="I113" s="219">
        <f t="shared" si="36"/>
        <v>172.42</v>
      </c>
      <c r="J113" s="219">
        <f t="shared" si="36"/>
        <v>185.35</v>
      </c>
      <c r="K113" s="219">
        <f t="shared" si="36"/>
        <v>173.29</v>
      </c>
      <c r="L113" s="219">
        <f t="shared" si="36"/>
        <v>186.28</v>
      </c>
      <c r="M113" s="219">
        <f t="shared" si="36"/>
        <v>0</v>
      </c>
      <c r="N113" s="219">
        <f t="shared" si="36"/>
        <v>0</v>
      </c>
      <c r="O113" s="219">
        <f t="shared" si="36"/>
        <v>178.83</v>
      </c>
    </row>
    <row r="114" spans="1:15" x14ac:dyDescent="0.2">
      <c r="A114" s="1978">
        <v>37</v>
      </c>
      <c r="B114" s="224" t="s">
        <v>97</v>
      </c>
      <c r="C114" s="213">
        <v>330853</v>
      </c>
      <c r="D114" s="217">
        <f>ROUND((C114*(1+'Løntabel gældende fra'!$D$7%)),0)</f>
        <v>355658</v>
      </c>
      <c r="E114" s="215">
        <v>332923</v>
      </c>
      <c r="F114" s="216">
        <f>ROUND((E114*(1+'Løntabel gældende fra'!$D$7%)),0)</f>
        <v>357883</v>
      </c>
      <c r="G114" s="213">
        <v>334355</v>
      </c>
      <c r="H114" s="217">
        <f>ROUND((G114*(1+'Løntabel gældende fra'!$D$7%)),0)</f>
        <v>359422</v>
      </c>
      <c r="I114" s="215">
        <v>336425</v>
      </c>
      <c r="J114" s="216">
        <f>ROUND((I114*(1+'Løntabel gældende fra'!$D$7%)),0)</f>
        <v>361647</v>
      </c>
      <c r="K114" s="213">
        <v>337859</v>
      </c>
      <c r="L114" s="217">
        <f>ROUND((K114*(1+'Løntabel gældende fra'!$D$7%)),0)</f>
        <v>363189</v>
      </c>
      <c r="M114" s="472"/>
      <c r="N114" s="451">
        <v>326457.34000000003</v>
      </c>
      <c r="O114" s="452">
        <f>ROUND(N114*(1+'Løntabel gældende fra'!$D$7%),2)</f>
        <v>350932.5</v>
      </c>
    </row>
    <row r="115" spans="1:15" x14ac:dyDescent="0.2">
      <c r="A115" s="1976"/>
      <c r="B115" s="455" t="s">
        <v>246</v>
      </c>
      <c r="C115" s="458"/>
      <c r="D115" s="465">
        <f>ROUND(D114/12,2)</f>
        <v>29638.17</v>
      </c>
      <c r="E115" s="462">
        <f>E114/12</f>
        <v>27743.583333333332</v>
      </c>
      <c r="F115" s="447">
        <f>ROUND(F114/12,2)</f>
        <v>29823.58</v>
      </c>
      <c r="G115" s="458">
        <f>G114/12</f>
        <v>27862.916666666668</v>
      </c>
      <c r="H115" s="465">
        <f>ROUND(H114/12,2)</f>
        <v>29951.83</v>
      </c>
      <c r="I115" s="462">
        <f>I114/12</f>
        <v>28035.416666666668</v>
      </c>
      <c r="J115" s="447">
        <f>ROUND(J114/12,2)</f>
        <v>30137.25</v>
      </c>
      <c r="K115" s="458">
        <f>K114/12</f>
        <v>28154.916666666668</v>
      </c>
      <c r="L115" s="465">
        <f>ROUND(L114/12,2)</f>
        <v>30265.75</v>
      </c>
      <c r="M115" s="470"/>
      <c r="N115" s="448"/>
      <c r="O115" s="450">
        <f>ROUND(O114/12,2)</f>
        <v>29244.38</v>
      </c>
    </row>
    <row r="116" spans="1:15" ht="16" thickBot="1" x14ac:dyDescent="0.25">
      <c r="A116" s="1979"/>
      <c r="B116" s="457" t="s">
        <v>239</v>
      </c>
      <c r="C116" s="461">
        <f>C114/12</f>
        <v>27571.083333333332</v>
      </c>
      <c r="D116" s="219">
        <f>ROUND(D115/160.33,2)</f>
        <v>184.86</v>
      </c>
      <c r="E116" s="464"/>
      <c r="F116" s="219">
        <f t="shared" ref="F116:O116" si="37">ROUND(F115/160.33,2)</f>
        <v>186.01</v>
      </c>
      <c r="G116" s="219">
        <f t="shared" si="37"/>
        <v>173.78</v>
      </c>
      <c r="H116" s="219">
        <f t="shared" si="37"/>
        <v>186.81</v>
      </c>
      <c r="I116" s="219">
        <f t="shared" si="37"/>
        <v>174.86</v>
      </c>
      <c r="J116" s="219">
        <f t="shared" si="37"/>
        <v>187.97</v>
      </c>
      <c r="K116" s="219">
        <f t="shared" si="37"/>
        <v>175.61</v>
      </c>
      <c r="L116" s="219">
        <f t="shared" si="37"/>
        <v>188.77</v>
      </c>
      <c r="M116" s="219">
        <f t="shared" si="37"/>
        <v>0</v>
      </c>
      <c r="N116" s="219">
        <f t="shared" si="37"/>
        <v>0</v>
      </c>
      <c r="O116" s="219">
        <f t="shared" si="37"/>
        <v>182.4</v>
      </c>
    </row>
    <row r="117" spans="1:15" x14ac:dyDescent="0.2">
      <c r="A117" s="1975">
        <v>38</v>
      </c>
      <c r="B117" s="225" t="s">
        <v>97</v>
      </c>
      <c r="C117" s="221">
        <v>336808</v>
      </c>
      <c r="D117" s="214">
        <f>ROUND((C117*(1+'Løntabel gældende fra'!$D$7%)),0)</f>
        <v>362059</v>
      </c>
      <c r="E117" s="222">
        <v>338540</v>
      </c>
      <c r="F117" s="223">
        <f>ROUND((E117*(1+'Løntabel gældende fra'!$D$7%)),0)</f>
        <v>363921</v>
      </c>
      <c r="G117" s="221">
        <v>339739</v>
      </c>
      <c r="H117" s="214">
        <f>ROUND((G117*(1+'Løntabel gældende fra'!$D$7%)),0)</f>
        <v>365210</v>
      </c>
      <c r="I117" s="222">
        <v>341471</v>
      </c>
      <c r="J117" s="223">
        <f>ROUND((I117*(1+'Løntabel gældende fra'!$D$7%)),0)</f>
        <v>367072</v>
      </c>
      <c r="K117" s="221">
        <v>342672</v>
      </c>
      <c r="L117" s="214">
        <f>ROUND((K117*(1+'Løntabel gældende fra'!$D$7%)),0)</f>
        <v>368363</v>
      </c>
      <c r="M117" s="471"/>
      <c r="N117" s="449">
        <v>333128.88</v>
      </c>
      <c r="O117" s="228">
        <f>ROUND(N117*(1+'Løntabel gældende fra'!$D$7%),2)</f>
        <v>358104.22</v>
      </c>
    </row>
    <row r="118" spans="1:15" x14ac:dyDescent="0.2">
      <c r="A118" s="1976"/>
      <c r="B118" s="455" t="s">
        <v>246</v>
      </c>
      <c r="C118" s="458"/>
      <c r="D118" s="465">
        <f>ROUND(D117/12,2)</f>
        <v>30171.58</v>
      </c>
      <c r="E118" s="462">
        <f>E117/12</f>
        <v>28211.666666666668</v>
      </c>
      <c r="F118" s="447">
        <f>ROUND(F117/12,2)</f>
        <v>30326.75</v>
      </c>
      <c r="G118" s="458">
        <f>G117/12</f>
        <v>28311.583333333332</v>
      </c>
      <c r="H118" s="465">
        <f>ROUND(H117/12,2)</f>
        <v>30434.17</v>
      </c>
      <c r="I118" s="462">
        <f>I117/12</f>
        <v>28455.916666666668</v>
      </c>
      <c r="J118" s="447">
        <f>ROUND(J117/12,2)</f>
        <v>30589.33</v>
      </c>
      <c r="K118" s="458">
        <f>K117/12</f>
        <v>28556</v>
      </c>
      <c r="L118" s="465">
        <f>ROUND(L117/12,2)</f>
        <v>30696.92</v>
      </c>
      <c r="M118" s="470"/>
      <c r="N118" s="448"/>
      <c r="O118" s="450">
        <f>ROUND(O117/12,2)</f>
        <v>29842.02</v>
      </c>
    </row>
    <row r="119" spans="1:15" ht="16" thickBot="1" x14ac:dyDescent="0.25">
      <c r="A119" s="1977"/>
      <c r="B119" s="456" t="s">
        <v>239</v>
      </c>
      <c r="C119" s="218">
        <f>C117/12</f>
        <v>28067.333333333332</v>
      </c>
      <c r="D119" s="219">
        <f>ROUND(D118/160.33,2)</f>
        <v>188.18</v>
      </c>
      <c r="E119" s="463"/>
      <c r="F119" s="219">
        <f t="shared" ref="F119:O119" si="38">ROUND(F118/160.33,2)</f>
        <v>189.15</v>
      </c>
      <c r="G119" s="219">
        <f t="shared" si="38"/>
        <v>176.58</v>
      </c>
      <c r="H119" s="219">
        <f t="shared" si="38"/>
        <v>189.82</v>
      </c>
      <c r="I119" s="219">
        <f t="shared" si="38"/>
        <v>177.48</v>
      </c>
      <c r="J119" s="219">
        <f t="shared" si="38"/>
        <v>190.79</v>
      </c>
      <c r="K119" s="219">
        <f t="shared" si="38"/>
        <v>178.11</v>
      </c>
      <c r="L119" s="219">
        <f t="shared" si="38"/>
        <v>191.46</v>
      </c>
      <c r="M119" s="219">
        <f t="shared" si="38"/>
        <v>0</v>
      </c>
      <c r="N119" s="219">
        <f t="shared" si="38"/>
        <v>0</v>
      </c>
      <c r="O119" s="219">
        <f t="shared" si="38"/>
        <v>186.13</v>
      </c>
    </row>
    <row r="120" spans="1:15" x14ac:dyDescent="0.2">
      <c r="A120" s="1978">
        <v>39</v>
      </c>
      <c r="B120" s="224" t="s">
        <v>97</v>
      </c>
      <c r="C120" s="213">
        <v>342821</v>
      </c>
      <c r="D120" s="217">
        <f>ROUND((C120*(1+'Løntabel gældende fra'!$D$7%)),0)</f>
        <v>368523</v>
      </c>
      <c r="E120" s="215">
        <v>344156</v>
      </c>
      <c r="F120" s="216">
        <f>ROUND((E120*(1+'Løntabel gældende fra'!$D$7%)),0)</f>
        <v>369958</v>
      </c>
      <c r="G120" s="213">
        <v>345080</v>
      </c>
      <c r="H120" s="217">
        <f>ROUND((G120*(1+'Løntabel gældende fra'!$D$7%)),0)</f>
        <v>370951</v>
      </c>
      <c r="I120" s="215">
        <v>346413</v>
      </c>
      <c r="J120" s="216">
        <f>ROUND((I120*(1+'Løntabel gældende fra'!$D$7%)),0)</f>
        <v>372384</v>
      </c>
      <c r="K120" s="213">
        <v>347337</v>
      </c>
      <c r="L120" s="217">
        <f>ROUND((K120*(1+'Løntabel gældende fra'!$D$7%)),0)</f>
        <v>373378</v>
      </c>
      <c r="M120" s="472"/>
      <c r="N120" s="451">
        <v>339989.41</v>
      </c>
      <c r="O120" s="452">
        <f>ROUND(N120*(1+'Løntabel gældende fra'!$D$7%),2)</f>
        <v>365479.1</v>
      </c>
    </row>
    <row r="121" spans="1:15" x14ac:dyDescent="0.2">
      <c r="A121" s="1976"/>
      <c r="B121" s="455" t="s">
        <v>246</v>
      </c>
      <c r="C121" s="458"/>
      <c r="D121" s="465">
        <f>ROUND(D120/12,2)</f>
        <v>30710.25</v>
      </c>
      <c r="E121" s="462">
        <f>E120/12</f>
        <v>28679.666666666668</v>
      </c>
      <c r="F121" s="447">
        <f>ROUND(F120/12,2)</f>
        <v>30829.83</v>
      </c>
      <c r="G121" s="458">
        <f>G120/12</f>
        <v>28756.666666666668</v>
      </c>
      <c r="H121" s="465">
        <f>ROUND(H120/12,2)</f>
        <v>30912.58</v>
      </c>
      <c r="I121" s="462">
        <f>I120/12</f>
        <v>28867.75</v>
      </c>
      <c r="J121" s="447">
        <f>ROUND(J120/12,2)</f>
        <v>31032</v>
      </c>
      <c r="K121" s="458">
        <f>K120/12</f>
        <v>28944.75</v>
      </c>
      <c r="L121" s="465">
        <f>ROUND(L120/12,2)</f>
        <v>31114.83</v>
      </c>
      <c r="M121" s="470"/>
      <c r="N121" s="448"/>
      <c r="O121" s="450">
        <f>ROUND(O120/12,2)</f>
        <v>30456.59</v>
      </c>
    </row>
    <row r="122" spans="1:15" ht="16" thickBot="1" x14ac:dyDescent="0.25">
      <c r="A122" s="1979"/>
      <c r="B122" s="457" t="s">
        <v>239</v>
      </c>
      <c r="C122" s="461">
        <f>C120/12</f>
        <v>28568.416666666668</v>
      </c>
      <c r="D122" s="219">
        <f>ROUND(D121/160.33,2)</f>
        <v>191.54</v>
      </c>
      <c r="E122" s="464"/>
      <c r="F122" s="219">
        <f t="shared" ref="F122:O122" si="39">ROUND(F121/160.33,2)</f>
        <v>192.29</v>
      </c>
      <c r="G122" s="219">
        <f t="shared" si="39"/>
        <v>179.36</v>
      </c>
      <c r="H122" s="219">
        <f t="shared" si="39"/>
        <v>192.81</v>
      </c>
      <c r="I122" s="219">
        <f t="shared" si="39"/>
        <v>180.05</v>
      </c>
      <c r="J122" s="219">
        <f t="shared" si="39"/>
        <v>193.55</v>
      </c>
      <c r="K122" s="219">
        <f t="shared" si="39"/>
        <v>180.53</v>
      </c>
      <c r="L122" s="219">
        <f t="shared" si="39"/>
        <v>194.07</v>
      </c>
      <c r="M122" s="219">
        <f t="shared" si="39"/>
        <v>0</v>
      </c>
      <c r="N122" s="219">
        <f t="shared" si="39"/>
        <v>0</v>
      </c>
      <c r="O122" s="219">
        <f t="shared" si="39"/>
        <v>189.96</v>
      </c>
    </row>
    <row r="123" spans="1:15" x14ac:dyDescent="0.2">
      <c r="A123" s="1975">
        <v>40</v>
      </c>
      <c r="B123" s="225" t="s">
        <v>97</v>
      </c>
      <c r="C123" s="221">
        <v>348966</v>
      </c>
      <c r="D123" s="214">
        <f>ROUND((C123*(1+'Løntabel gældende fra'!$D$7%)),0)</f>
        <v>375129</v>
      </c>
      <c r="E123" s="222">
        <v>349878</v>
      </c>
      <c r="F123" s="223">
        <f>ROUND((E123*(1+'Løntabel gældende fra'!$D$7%)),0)</f>
        <v>376109</v>
      </c>
      <c r="G123" s="221">
        <v>350510</v>
      </c>
      <c r="H123" s="214">
        <f>ROUND((G123*(1+'Løntabel gældende fra'!$D$7%)),0)</f>
        <v>376788</v>
      </c>
      <c r="I123" s="222">
        <v>351422</v>
      </c>
      <c r="J123" s="223">
        <f>ROUND((I123*(1+'Løntabel gældende fra'!$D$7%)),0)</f>
        <v>377769</v>
      </c>
      <c r="K123" s="221">
        <v>352054</v>
      </c>
      <c r="L123" s="214">
        <f>ROUND((K123*(1+'Løntabel gældende fra'!$D$7%)),0)</f>
        <v>378448</v>
      </c>
      <c r="M123" s="471"/>
      <c r="N123" s="449">
        <v>347027.46</v>
      </c>
      <c r="O123" s="228">
        <f>ROUND(N123*(1+'Løntabel gældende fra'!$D$7%),2)</f>
        <v>373044.8</v>
      </c>
    </row>
    <row r="124" spans="1:15" x14ac:dyDescent="0.2">
      <c r="A124" s="1976"/>
      <c r="B124" s="455" t="s">
        <v>246</v>
      </c>
      <c r="C124" s="458"/>
      <c r="D124" s="465">
        <f>ROUND(D123/12,2)</f>
        <v>31260.75</v>
      </c>
      <c r="E124" s="462">
        <f>E123/12</f>
        <v>29156.5</v>
      </c>
      <c r="F124" s="447">
        <f>ROUND(F123/12,2)</f>
        <v>31342.42</v>
      </c>
      <c r="G124" s="458">
        <f>G123/12</f>
        <v>29209.166666666668</v>
      </c>
      <c r="H124" s="465">
        <f>ROUND(H123/12,2)</f>
        <v>31399</v>
      </c>
      <c r="I124" s="462">
        <f>I123/12</f>
        <v>29285.166666666668</v>
      </c>
      <c r="J124" s="447">
        <f>ROUND(J123/12,2)</f>
        <v>31480.75</v>
      </c>
      <c r="K124" s="458">
        <f>K123/12</f>
        <v>29337.833333333332</v>
      </c>
      <c r="L124" s="465">
        <f>ROUND(L123/12,2)</f>
        <v>31537.33</v>
      </c>
      <c r="M124" s="470"/>
      <c r="N124" s="448"/>
      <c r="O124" s="450">
        <f>ROUND(O123/12,2)</f>
        <v>31087.07</v>
      </c>
    </row>
    <row r="125" spans="1:15" ht="16" thickBot="1" x14ac:dyDescent="0.25">
      <c r="A125" s="1977"/>
      <c r="B125" s="456" t="s">
        <v>239</v>
      </c>
      <c r="C125" s="218">
        <f>C123/12</f>
        <v>29080.5</v>
      </c>
      <c r="D125" s="219">
        <f>ROUND(D124/160.33,2)</f>
        <v>194.98</v>
      </c>
      <c r="E125" s="463"/>
      <c r="F125" s="219">
        <f t="shared" ref="F125:O125" si="40">ROUND(F124/160.33,2)</f>
        <v>195.49</v>
      </c>
      <c r="G125" s="219">
        <f t="shared" si="40"/>
        <v>182.18</v>
      </c>
      <c r="H125" s="219">
        <f t="shared" si="40"/>
        <v>195.84</v>
      </c>
      <c r="I125" s="219">
        <f t="shared" si="40"/>
        <v>182.66</v>
      </c>
      <c r="J125" s="219">
        <f t="shared" si="40"/>
        <v>196.35</v>
      </c>
      <c r="K125" s="219">
        <f t="shared" si="40"/>
        <v>182.98</v>
      </c>
      <c r="L125" s="219">
        <f t="shared" si="40"/>
        <v>196.7</v>
      </c>
      <c r="M125" s="219">
        <f t="shared" si="40"/>
        <v>0</v>
      </c>
      <c r="N125" s="219">
        <f t="shared" si="40"/>
        <v>0</v>
      </c>
      <c r="O125" s="219">
        <f t="shared" si="40"/>
        <v>193.89</v>
      </c>
    </row>
    <row r="126" spans="1:15" x14ac:dyDescent="0.2">
      <c r="A126" s="1978">
        <v>41</v>
      </c>
      <c r="B126" s="224" t="s">
        <v>97</v>
      </c>
      <c r="C126" s="213">
        <v>355245</v>
      </c>
      <c r="D126" s="217">
        <f>ROUND((C126*(1+'Løntabel gældende fra'!$D$7%)),0)</f>
        <v>381878</v>
      </c>
      <c r="E126" s="215">
        <v>355712</v>
      </c>
      <c r="F126" s="216">
        <f>ROUND((E126*(1+'Løntabel gældende fra'!$D$7%)),0)</f>
        <v>382380</v>
      </c>
      <c r="G126" s="213">
        <v>356037</v>
      </c>
      <c r="H126" s="217">
        <f>ROUND((G126*(1+'Løntabel gældende fra'!$D$7%)),0)</f>
        <v>382730</v>
      </c>
      <c r="I126" s="215">
        <v>356505</v>
      </c>
      <c r="J126" s="216">
        <f>ROUND((I126*(1+'Løntabel gældende fra'!$D$7%)),0)</f>
        <v>383233</v>
      </c>
      <c r="K126" s="213">
        <v>356828</v>
      </c>
      <c r="L126" s="217">
        <f>ROUND((K126*(1+'Løntabel gældende fra'!$D$7%)),0)</f>
        <v>383580</v>
      </c>
      <c r="M126" s="472"/>
      <c r="N126" s="451">
        <v>354249.23</v>
      </c>
      <c r="O126" s="452">
        <f>ROUND(N126*(1+'Løntabel gældende fra'!$D$7%),2)</f>
        <v>380808</v>
      </c>
    </row>
    <row r="127" spans="1:15" x14ac:dyDescent="0.2">
      <c r="A127" s="1976"/>
      <c r="B127" s="455" t="s">
        <v>246</v>
      </c>
      <c r="C127" s="458"/>
      <c r="D127" s="465">
        <f>ROUND(D126/12,2)</f>
        <v>31823.17</v>
      </c>
      <c r="E127" s="462">
        <f>E126/12</f>
        <v>29642.666666666668</v>
      </c>
      <c r="F127" s="447">
        <f>ROUND(F126/12,2)</f>
        <v>31865</v>
      </c>
      <c r="G127" s="458">
        <f>G126/12</f>
        <v>29669.75</v>
      </c>
      <c r="H127" s="465">
        <f>ROUND(H126/12,2)</f>
        <v>31894.17</v>
      </c>
      <c r="I127" s="462">
        <f>I126/12</f>
        <v>29708.75</v>
      </c>
      <c r="J127" s="447">
        <f>ROUND(J126/12,2)</f>
        <v>31936.080000000002</v>
      </c>
      <c r="K127" s="458">
        <f>K126/12</f>
        <v>29735.666666666668</v>
      </c>
      <c r="L127" s="465">
        <f>ROUND(L126/12,2)</f>
        <v>31965</v>
      </c>
      <c r="M127" s="470"/>
      <c r="N127" s="448"/>
      <c r="O127" s="450">
        <f>ROUND(O126/12,2)</f>
        <v>31734</v>
      </c>
    </row>
    <row r="128" spans="1:15" ht="16" thickBot="1" x14ac:dyDescent="0.25">
      <c r="A128" s="1979"/>
      <c r="B128" s="457" t="s">
        <v>239</v>
      </c>
      <c r="C128" s="461">
        <f>C126/12</f>
        <v>29603.75</v>
      </c>
      <c r="D128" s="219">
        <f>ROUND(D127/160.33,2)</f>
        <v>198.49</v>
      </c>
      <c r="E128" s="464"/>
      <c r="F128" s="219">
        <f t="shared" ref="F128:O128" si="41">ROUND(F127/160.33,2)</f>
        <v>198.75</v>
      </c>
      <c r="G128" s="219">
        <f t="shared" si="41"/>
        <v>185.05</v>
      </c>
      <c r="H128" s="219">
        <f t="shared" si="41"/>
        <v>198.93</v>
      </c>
      <c r="I128" s="219">
        <f t="shared" si="41"/>
        <v>185.3</v>
      </c>
      <c r="J128" s="219">
        <f t="shared" si="41"/>
        <v>199.19</v>
      </c>
      <c r="K128" s="219">
        <f t="shared" si="41"/>
        <v>185.47</v>
      </c>
      <c r="L128" s="219">
        <f t="shared" si="41"/>
        <v>199.37</v>
      </c>
      <c r="M128" s="219">
        <f t="shared" si="41"/>
        <v>0</v>
      </c>
      <c r="N128" s="219">
        <f t="shared" si="41"/>
        <v>0</v>
      </c>
      <c r="O128" s="219">
        <f t="shared" si="41"/>
        <v>197.93</v>
      </c>
    </row>
    <row r="129" spans="1:15" x14ac:dyDescent="0.2">
      <c r="A129" s="1975">
        <v>42</v>
      </c>
      <c r="B129" s="225" t="s">
        <v>97</v>
      </c>
      <c r="C129" s="221">
        <v>361660</v>
      </c>
      <c r="D129" s="214">
        <f>ROUND((C129*(1+'Løntabel gældende fra'!$D$7%)),0)</f>
        <v>388774</v>
      </c>
      <c r="E129" s="222">
        <v>361660</v>
      </c>
      <c r="F129" s="223">
        <f>ROUND((E129*(1+'Løntabel gældende fra'!$D$7%)),0)</f>
        <v>388774</v>
      </c>
      <c r="G129" s="221">
        <v>361660</v>
      </c>
      <c r="H129" s="214">
        <f>ROUND((G129*(1+'Løntabel gældende fra'!$D$7%)),0)</f>
        <v>388774</v>
      </c>
      <c r="I129" s="222">
        <v>361660</v>
      </c>
      <c r="J129" s="223">
        <f>ROUND((I129*(1+'Løntabel gældende fra'!$D$7%)),0)</f>
        <v>388774</v>
      </c>
      <c r="K129" s="221">
        <v>361660</v>
      </c>
      <c r="L129" s="214">
        <f>ROUND((K129*(1+'Løntabel gældende fra'!$D$7%)),0)</f>
        <v>388774</v>
      </c>
      <c r="M129" s="471"/>
      <c r="N129" s="449">
        <v>361659.2</v>
      </c>
      <c r="O129" s="228">
        <f>ROUND(N129*(1+'Løntabel gældende fra'!$D$7%),2)</f>
        <v>388773.51</v>
      </c>
    </row>
    <row r="130" spans="1:15" x14ac:dyDescent="0.2">
      <c r="A130" s="1976"/>
      <c r="B130" s="455" t="s">
        <v>246</v>
      </c>
      <c r="C130" s="458"/>
      <c r="D130" s="465">
        <f>ROUND(D129/12,2)</f>
        <v>32397.83</v>
      </c>
      <c r="E130" s="462">
        <f>E129/12</f>
        <v>30138.333333333332</v>
      </c>
      <c r="F130" s="447">
        <f>ROUND(F129/12,2)</f>
        <v>32397.83</v>
      </c>
      <c r="G130" s="458">
        <f>G129/12</f>
        <v>30138.333333333332</v>
      </c>
      <c r="H130" s="465">
        <f>ROUND(H129/12,2)</f>
        <v>32397.83</v>
      </c>
      <c r="I130" s="462">
        <f>I129/12</f>
        <v>30138.333333333332</v>
      </c>
      <c r="J130" s="447">
        <f>ROUND(J129/12,2)</f>
        <v>32397.83</v>
      </c>
      <c r="K130" s="458">
        <f>K129/12</f>
        <v>30138.333333333332</v>
      </c>
      <c r="L130" s="465">
        <f>ROUND(L129/12,2)</f>
        <v>32397.83</v>
      </c>
      <c r="M130" s="470"/>
      <c r="N130" s="448"/>
      <c r="O130" s="450">
        <f>ROUND(O129/12,2)</f>
        <v>32397.79</v>
      </c>
    </row>
    <row r="131" spans="1:15" ht="16" thickBot="1" x14ac:dyDescent="0.25">
      <c r="A131" s="1977"/>
      <c r="B131" s="456" t="s">
        <v>239</v>
      </c>
      <c r="C131" s="218">
        <f>C129/12</f>
        <v>30138.333333333332</v>
      </c>
      <c r="D131" s="219">
        <f>ROUND(D130/160.33,2)</f>
        <v>202.07</v>
      </c>
      <c r="E131" s="463"/>
      <c r="F131" s="219">
        <f t="shared" ref="F131:O131" si="42">ROUND(F130/160.33,2)</f>
        <v>202.07</v>
      </c>
      <c r="G131" s="219">
        <f t="shared" si="42"/>
        <v>187.98</v>
      </c>
      <c r="H131" s="219">
        <f t="shared" si="42"/>
        <v>202.07</v>
      </c>
      <c r="I131" s="219">
        <f t="shared" si="42"/>
        <v>187.98</v>
      </c>
      <c r="J131" s="219">
        <f t="shared" si="42"/>
        <v>202.07</v>
      </c>
      <c r="K131" s="219">
        <f t="shared" si="42"/>
        <v>187.98</v>
      </c>
      <c r="L131" s="219">
        <f t="shared" si="42"/>
        <v>202.07</v>
      </c>
      <c r="M131" s="219">
        <f t="shared" si="42"/>
        <v>0</v>
      </c>
      <c r="N131" s="219">
        <f t="shared" si="42"/>
        <v>0</v>
      </c>
      <c r="O131" s="219">
        <f t="shared" si="42"/>
        <v>202.07</v>
      </c>
    </row>
    <row r="132" spans="1:15" x14ac:dyDescent="0.2">
      <c r="A132" s="1978">
        <v>43</v>
      </c>
      <c r="B132" s="224" t="s">
        <v>97</v>
      </c>
      <c r="C132" s="213">
        <v>369689</v>
      </c>
      <c r="D132" s="217">
        <f>ROUND((C132*(1+'Løntabel gældende fra'!$D$7%)),0)</f>
        <v>397405</v>
      </c>
      <c r="E132" s="215">
        <v>369689</v>
      </c>
      <c r="F132" s="216">
        <f>ROUND((E132*(1+'Løntabel gældende fra'!$D$7%)),0)</f>
        <v>397405</v>
      </c>
      <c r="G132" s="213">
        <v>369689</v>
      </c>
      <c r="H132" s="217">
        <f>ROUND((G132*(1+'Løntabel gældende fra'!$D$7%)),0)</f>
        <v>397405</v>
      </c>
      <c r="I132" s="215">
        <v>369689</v>
      </c>
      <c r="J132" s="216">
        <f>ROUND((I132*(1+'Løntabel gældende fra'!$D$7%)),0)</f>
        <v>397405</v>
      </c>
      <c r="K132" s="213">
        <v>369689</v>
      </c>
      <c r="L132" s="217">
        <f>ROUND((K132*(1+'Løntabel gældende fra'!$D$7%)),0)</f>
        <v>397405</v>
      </c>
      <c r="M132" s="472"/>
      <c r="N132" s="451">
        <v>369688.53</v>
      </c>
      <c r="O132" s="452">
        <f>ROUND(N132*(1+'Løntabel gældende fra'!$D$7%),2)</f>
        <v>397404.82</v>
      </c>
    </row>
    <row r="133" spans="1:15" x14ac:dyDescent="0.2">
      <c r="A133" s="1976"/>
      <c r="B133" s="455" t="s">
        <v>246</v>
      </c>
      <c r="C133" s="458"/>
      <c r="D133" s="465">
        <f>ROUND(D132/12,2)</f>
        <v>33117.08</v>
      </c>
      <c r="E133" s="462">
        <f>E132/12</f>
        <v>30807.416666666668</v>
      </c>
      <c r="F133" s="447">
        <f>ROUND(F132/12,2)</f>
        <v>33117.08</v>
      </c>
      <c r="G133" s="458">
        <f>G132/12</f>
        <v>30807.416666666668</v>
      </c>
      <c r="H133" s="465">
        <f>ROUND(H132/12,2)</f>
        <v>33117.08</v>
      </c>
      <c r="I133" s="462">
        <f>I132/12</f>
        <v>30807.416666666668</v>
      </c>
      <c r="J133" s="447">
        <f>ROUND(J132/12,2)</f>
        <v>33117.08</v>
      </c>
      <c r="K133" s="458">
        <f>K132/12</f>
        <v>30807.416666666668</v>
      </c>
      <c r="L133" s="465">
        <f>ROUND(L132/12,2)</f>
        <v>33117.08</v>
      </c>
      <c r="M133" s="470"/>
      <c r="N133" s="448"/>
      <c r="O133" s="450">
        <f>ROUND(O132/12,2)</f>
        <v>33117.07</v>
      </c>
    </row>
    <row r="134" spans="1:15" ht="16" thickBot="1" x14ac:dyDescent="0.25">
      <c r="A134" s="1979"/>
      <c r="B134" s="457" t="s">
        <v>239</v>
      </c>
      <c r="C134" s="461">
        <f>C132/12</f>
        <v>30807.416666666668</v>
      </c>
      <c r="D134" s="219">
        <f>ROUND(D133/160.33,2)</f>
        <v>206.56</v>
      </c>
      <c r="E134" s="464"/>
      <c r="F134" s="219">
        <f t="shared" ref="F134:O134" si="43">ROUND(F133/160.33,2)</f>
        <v>206.56</v>
      </c>
      <c r="G134" s="219">
        <f t="shared" si="43"/>
        <v>192.15</v>
      </c>
      <c r="H134" s="219">
        <f t="shared" si="43"/>
        <v>206.56</v>
      </c>
      <c r="I134" s="219">
        <f t="shared" si="43"/>
        <v>192.15</v>
      </c>
      <c r="J134" s="219">
        <f t="shared" si="43"/>
        <v>206.56</v>
      </c>
      <c r="K134" s="219">
        <f t="shared" si="43"/>
        <v>192.15</v>
      </c>
      <c r="L134" s="219">
        <f t="shared" si="43"/>
        <v>206.56</v>
      </c>
      <c r="M134" s="219">
        <f t="shared" si="43"/>
        <v>0</v>
      </c>
      <c r="N134" s="219">
        <f t="shared" si="43"/>
        <v>0</v>
      </c>
      <c r="O134" s="219">
        <f t="shared" si="43"/>
        <v>206.56</v>
      </c>
    </row>
    <row r="135" spans="1:15" x14ac:dyDescent="0.2">
      <c r="A135" s="1975">
        <v>44</v>
      </c>
      <c r="B135" s="225" t="s">
        <v>97</v>
      </c>
      <c r="C135" s="221">
        <v>377937</v>
      </c>
      <c r="D135" s="214">
        <f>ROUND((C135*(1+'Løntabel gældende fra'!$D$7%)),0)</f>
        <v>406272</v>
      </c>
      <c r="E135" s="222">
        <v>377937</v>
      </c>
      <c r="F135" s="223">
        <f>ROUND((E135*(1+'Løntabel gældende fra'!$D$7%)),0)</f>
        <v>406272</v>
      </c>
      <c r="G135" s="221">
        <v>377937</v>
      </c>
      <c r="H135" s="214">
        <f>ROUND((G135*(1+'Løntabel gældende fra'!$D$7%)),0)</f>
        <v>406272</v>
      </c>
      <c r="I135" s="222">
        <v>377937</v>
      </c>
      <c r="J135" s="223">
        <f>ROUND((I135*(1+'Løntabel gældende fra'!$D$7%)),0)</f>
        <v>406272</v>
      </c>
      <c r="K135" s="221">
        <v>377937</v>
      </c>
      <c r="L135" s="214">
        <f>ROUND((K135*(1+'Løntabel gældende fra'!$D$7%)),0)</f>
        <v>406272</v>
      </c>
      <c r="M135" s="471"/>
      <c r="N135" s="449">
        <v>377937.3</v>
      </c>
      <c r="O135" s="228">
        <f>ROUND(N135*(1+'Løntabel gældende fra'!$D$7%),2)</f>
        <v>406272.02</v>
      </c>
    </row>
    <row r="136" spans="1:15" x14ac:dyDescent="0.2">
      <c r="A136" s="1976"/>
      <c r="B136" s="455" t="s">
        <v>246</v>
      </c>
      <c r="C136" s="458"/>
      <c r="D136" s="465">
        <f>ROUND(D135/12,2)</f>
        <v>33856</v>
      </c>
      <c r="E136" s="462">
        <f>E135/12</f>
        <v>31494.75</v>
      </c>
      <c r="F136" s="447">
        <f>ROUND(F135/12,2)</f>
        <v>33856</v>
      </c>
      <c r="G136" s="458">
        <f>G135/12</f>
        <v>31494.75</v>
      </c>
      <c r="H136" s="465">
        <f>ROUND(H135/12,2)</f>
        <v>33856</v>
      </c>
      <c r="I136" s="462">
        <f>I135/12</f>
        <v>31494.75</v>
      </c>
      <c r="J136" s="447">
        <f>ROUND(J135/12,2)</f>
        <v>33856</v>
      </c>
      <c r="K136" s="458">
        <f>K135/12</f>
        <v>31494.75</v>
      </c>
      <c r="L136" s="465">
        <f>ROUND(L135/12,2)</f>
        <v>33856</v>
      </c>
      <c r="M136" s="470"/>
      <c r="N136" s="448"/>
      <c r="O136" s="450">
        <f>ROUND(O135/12,2)</f>
        <v>33856</v>
      </c>
    </row>
    <row r="137" spans="1:15" ht="16" thickBot="1" x14ac:dyDescent="0.25">
      <c r="A137" s="1977"/>
      <c r="B137" s="456" t="s">
        <v>239</v>
      </c>
      <c r="C137" s="218">
        <f>C135/12</f>
        <v>31494.75</v>
      </c>
      <c r="D137" s="219">
        <f>ROUND(D136/160.33,2)</f>
        <v>211.16</v>
      </c>
      <c r="E137" s="463"/>
      <c r="F137" s="219">
        <f t="shared" ref="F137:O137" si="44">ROUND(F136/160.33,2)</f>
        <v>211.16</v>
      </c>
      <c r="G137" s="219">
        <f t="shared" si="44"/>
        <v>196.44</v>
      </c>
      <c r="H137" s="219">
        <f t="shared" si="44"/>
        <v>211.16</v>
      </c>
      <c r="I137" s="219">
        <f t="shared" si="44"/>
        <v>196.44</v>
      </c>
      <c r="J137" s="219">
        <f t="shared" si="44"/>
        <v>211.16</v>
      </c>
      <c r="K137" s="219">
        <f t="shared" si="44"/>
        <v>196.44</v>
      </c>
      <c r="L137" s="219">
        <f t="shared" si="44"/>
        <v>211.16</v>
      </c>
      <c r="M137" s="219">
        <f t="shared" si="44"/>
        <v>0</v>
      </c>
      <c r="N137" s="219">
        <f t="shared" si="44"/>
        <v>0</v>
      </c>
      <c r="O137" s="219">
        <f t="shared" si="44"/>
        <v>211.16</v>
      </c>
    </row>
    <row r="138" spans="1:15" x14ac:dyDescent="0.2">
      <c r="A138" s="1975">
        <v>45</v>
      </c>
      <c r="B138" s="225" t="s">
        <v>97</v>
      </c>
      <c r="C138" s="221">
        <v>386414</v>
      </c>
      <c r="D138" s="214">
        <f>ROUND((C138*(1+'Løntabel gældende fra'!$D$7%)),0)</f>
        <v>415384</v>
      </c>
      <c r="E138" s="222">
        <v>386414</v>
      </c>
      <c r="F138" s="223">
        <f>ROUND((E138*(1+'Løntabel gældende fra'!$D$7%)),0)</f>
        <v>415384</v>
      </c>
      <c r="G138" s="221">
        <v>386414</v>
      </c>
      <c r="H138" s="214">
        <f>ROUND((G138*(1+'Løntabel gældende fra'!$D$7%)),0)</f>
        <v>415384</v>
      </c>
      <c r="I138" s="222">
        <v>386414</v>
      </c>
      <c r="J138" s="223">
        <f>ROUND((I138*(1+'Løntabel gældende fra'!$D$7%)),0)</f>
        <v>415384</v>
      </c>
      <c r="K138" s="221">
        <v>386414</v>
      </c>
      <c r="L138" s="214">
        <f>ROUND((K138*(1+'Løntabel gældende fra'!$D$7%)),0)</f>
        <v>415384</v>
      </c>
      <c r="M138" s="471"/>
      <c r="N138" s="449">
        <v>386414.29</v>
      </c>
      <c r="O138" s="228">
        <f>ROUND(N138*(1+'Løntabel gældende fra'!$D$7%),2)</f>
        <v>415384.54</v>
      </c>
    </row>
    <row r="139" spans="1:15" x14ac:dyDescent="0.2">
      <c r="A139" s="1976"/>
      <c r="B139" s="455" t="s">
        <v>246</v>
      </c>
      <c r="C139" s="458"/>
      <c r="D139" s="465">
        <f>ROUND(D138/12,2)</f>
        <v>34615.33</v>
      </c>
      <c r="E139" s="462">
        <f>E138/12</f>
        <v>32201.166666666668</v>
      </c>
      <c r="F139" s="447">
        <f>ROUND(F138/12,2)</f>
        <v>34615.33</v>
      </c>
      <c r="G139" s="458">
        <f>G138/12</f>
        <v>32201.166666666668</v>
      </c>
      <c r="H139" s="465">
        <f>ROUND(H138/12,2)</f>
        <v>34615.33</v>
      </c>
      <c r="I139" s="462">
        <f>I138/12</f>
        <v>32201.166666666668</v>
      </c>
      <c r="J139" s="447">
        <f>ROUND(J138/12,2)</f>
        <v>34615.33</v>
      </c>
      <c r="K139" s="458">
        <f>K138/12</f>
        <v>32201.166666666668</v>
      </c>
      <c r="L139" s="465">
        <f>ROUND(L138/12,2)</f>
        <v>34615.33</v>
      </c>
      <c r="M139" s="470"/>
      <c r="N139" s="448"/>
      <c r="O139" s="450">
        <f>ROUND(O138/12,2)</f>
        <v>34615.379999999997</v>
      </c>
    </row>
    <row r="140" spans="1:15" ht="16" thickBot="1" x14ac:dyDescent="0.25">
      <c r="A140" s="1977"/>
      <c r="B140" s="456" t="s">
        <v>239</v>
      </c>
      <c r="C140" s="218">
        <f>C138/12</f>
        <v>32201.166666666668</v>
      </c>
      <c r="D140" s="219">
        <f>ROUND(D139/160.33,2)</f>
        <v>215.9</v>
      </c>
      <c r="E140" s="463"/>
      <c r="F140" s="219">
        <f t="shared" ref="F140:O140" si="45">ROUND(F139/160.33,2)</f>
        <v>215.9</v>
      </c>
      <c r="G140" s="219">
        <f t="shared" si="45"/>
        <v>200.84</v>
      </c>
      <c r="H140" s="219">
        <f t="shared" si="45"/>
        <v>215.9</v>
      </c>
      <c r="I140" s="219">
        <f t="shared" si="45"/>
        <v>200.84</v>
      </c>
      <c r="J140" s="219">
        <f t="shared" si="45"/>
        <v>215.9</v>
      </c>
      <c r="K140" s="219">
        <f t="shared" si="45"/>
        <v>200.84</v>
      </c>
      <c r="L140" s="219">
        <f t="shared" si="45"/>
        <v>215.9</v>
      </c>
      <c r="M140" s="219">
        <f t="shared" si="45"/>
        <v>0</v>
      </c>
      <c r="N140" s="219">
        <f t="shared" si="45"/>
        <v>0</v>
      </c>
      <c r="O140" s="219">
        <f t="shared" si="45"/>
        <v>215.9</v>
      </c>
    </row>
    <row r="141" spans="1:15" x14ac:dyDescent="0.2">
      <c r="A141" s="1975">
        <v>46</v>
      </c>
      <c r="B141" s="225" t="s">
        <v>97</v>
      </c>
      <c r="C141" s="221">
        <v>395125</v>
      </c>
      <c r="D141" s="214">
        <f>ROUND((C141*(1+'Løntabel gældende fra'!$D$7%)),0)</f>
        <v>424748</v>
      </c>
      <c r="E141" s="222">
        <v>395125</v>
      </c>
      <c r="F141" s="223">
        <f>ROUND((E141*(1+'Løntabel gældende fra'!$D$7%)),0)</f>
        <v>424748</v>
      </c>
      <c r="G141" s="221">
        <v>395125</v>
      </c>
      <c r="H141" s="214">
        <f>ROUND((G141*(1+'Løntabel gældende fra'!$D$7%)),0)</f>
        <v>424748</v>
      </c>
      <c r="I141" s="222">
        <v>395125</v>
      </c>
      <c r="J141" s="223">
        <f>ROUND((I141*(1+'Løntabel gældende fra'!$D$7%)),0)</f>
        <v>424748</v>
      </c>
      <c r="K141" s="221">
        <v>395125</v>
      </c>
      <c r="L141" s="214">
        <f>ROUND((K141*(1+'Løntabel gældende fra'!$D$7%)),0)</f>
        <v>424748</v>
      </c>
      <c r="M141" s="471"/>
      <c r="N141" s="449">
        <v>395124.74</v>
      </c>
      <c r="O141" s="228">
        <f>ROUND(N141*(1+'Løntabel gældende fra'!$D$7%),2)</f>
        <v>424748.03</v>
      </c>
    </row>
    <row r="142" spans="1:15" x14ac:dyDescent="0.2">
      <c r="A142" s="1976"/>
      <c r="B142" s="455" t="s">
        <v>98</v>
      </c>
      <c r="C142" s="458"/>
      <c r="D142" s="465">
        <f>ROUND(D141/12,2)</f>
        <v>35395.67</v>
      </c>
      <c r="E142" s="462">
        <f>E141/12</f>
        <v>32927.083333333336</v>
      </c>
      <c r="F142" s="447">
        <f>ROUND(F141/12,2)</f>
        <v>35395.67</v>
      </c>
      <c r="G142" s="458">
        <f>G141/12</f>
        <v>32927.083333333336</v>
      </c>
      <c r="H142" s="465">
        <f>ROUND(H141/12,2)</f>
        <v>35395.67</v>
      </c>
      <c r="I142" s="462">
        <f>I141/12</f>
        <v>32927.083333333336</v>
      </c>
      <c r="J142" s="447">
        <f>ROUND(J141/12,2)</f>
        <v>35395.67</v>
      </c>
      <c r="K142" s="458">
        <f>K141/12</f>
        <v>32927.083333333336</v>
      </c>
      <c r="L142" s="465">
        <f>ROUND(L141/12,2)</f>
        <v>35395.67</v>
      </c>
      <c r="M142" s="470"/>
      <c r="N142" s="448"/>
      <c r="O142" s="450">
        <f>ROUND(O141/12,2)</f>
        <v>35395.67</v>
      </c>
    </row>
    <row r="143" spans="1:15" ht="16" thickBot="1" x14ac:dyDescent="0.25">
      <c r="A143" s="1977"/>
      <c r="B143" s="456" t="s">
        <v>239</v>
      </c>
      <c r="C143" s="218">
        <f>C141/12</f>
        <v>32927.083333333336</v>
      </c>
      <c r="D143" s="219">
        <f>ROUND(D142/160.33,2)</f>
        <v>220.77</v>
      </c>
      <c r="E143" s="463"/>
      <c r="F143" s="219">
        <f t="shared" ref="F143:O143" si="46">ROUND(F142/160.33,2)</f>
        <v>220.77</v>
      </c>
      <c r="G143" s="219">
        <f t="shared" si="46"/>
        <v>205.37</v>
      </c>
      <c r="H143" s="219">
        <f t="shared" si="46"/>
        <v>220.77</v>
      </c>
      <c r="I143" s="219">
        <f t="shared" si="46"/>
        <v>205.37</v>
      </c>
      <c r="J143" s="219">
        <f t="shared" si="46"/>
        <v>220.77</v>
      </c>
      <c r="K143" s="219">
        <f t="shared" si="46"/>
        <v>205.37</v>
      </c>
      <c r="L143" s="219">
        <f t="shared" si="46"/>
        <v>220.77</v>
      </c>
      <c r="M143" s="219">
        <f t="shared" si="46"/>
        <v>0</v>
      </c>
      <c r="N143" s="219">
        <f t="shared" si="46"/>
        <v>0</v>
      </c>
      <c r="O143" s="219">
        <f t="shared" si="46"/>
        <v>220.77</v>
      </c>
    </row>
    <row r="144" spans="1:15" x14ac:dyDescent="0.2">
      <c r="A144" s="1978">
        <v>47</v>
      </c>
      <c r="B144" s="224" t="s">
        <v>97</v>
      </c>
      <c r="C144" s="213">
        <v>413269</v>
      </c>
      <c r="D144" s="217">
        <f>ROUND((C144*(1+'Løntabel gældende fra'!$D$7%)),0)</f>
        <v>444253</v>
      </c>
      <c r="E144" s="215">
        <v>413269</v>
      </c>
      <c r="F144" s="216">
        <f>ROUND((E144*(1+'Løntabel gældende fra'!$D$7%)),0)</f>
        <v>444253</v>
      </c>
      <c r="G144" s="213">
        <v>413269</v>
      </c>
      <c r="H144" s="217">
        <f>ROUND((G144*(1+'Løntabel gældende fra'!$D$7%)),0)</f>
        <v>444253</v>
      </c>
      <c r="I144" s="215">
        <v>413269</v>
      </c>
      <c r="J144" s="216">
        <f>ROUND((I144*(1+'Løntabel gældende fra'!$D$7%)),0)</f>
        <v>444253</v>
      </c>
      <c r="K144" s="213">
        <v>413269</v>
      </c>
      <c r="L144" s="217">
        <f>ROUND((K144*(1+'Løntabel gældende fra'!$D$7%)),0)</f>
        <v>444253</v>
      </c>
      <c r="M144" s="472"/>
      <c r="N144" s="451">
        <v>413268.87</v>
      </c>
      <c r="O144" s="452">
        <f>ROUND(N144*(1+'Løntabel gældende fra'!$D$7%),2)</f>
        <v>444252.46</v>
      </c>
    </row>
    <row r="145" spans="1:15" x14ac:dyDescent="0.2">
      <c r="A145" s="1976"/>
      <c r="B145" s="455" t="s">
        <v>246</v>
      </c>
      <c r="C145" s="458"/>
      <c r="D145" s="465">
        <f>ROUND(D144/12,2)</f>
        <v>37021.08</v>
      </c>
      <c r="E145" s="462">
        <f>E144/12</f>
        <v>34439.083333333336</v>
      </c>
      <c r="F145" s="447">
        <f>ROUND(F144/12,2)</f>
        <v>37021.08</v>
      </c>
      <c r="G145" s="458">
        <f>G144/12</f>
        <v>34439.083333333336</v>
      </c>
      <c r="H145" s="465">
        <f>ROUND(H144/12,2)</f>
        <v>37021.08</v>
      </c>
      <c r="I145" s="462">
        <f>I144/12</f>
        <v>34439.083333333336</v>
      </c>
      <c r="J145" s="447">
        <f>ROUND(J144/12,2)</f>
        <v>37021.08</v>
      </c>
      <c r="K145" s="458">
        <f>K144/12</f>
        <v>34439.083333333336</v>
      </c>
      <c r="L145" s="465">
        <f>ROUND(L144/12,2)</f>
        <v>37021.08</v>
      </c>
      <c r="M145" s="470"/>
      <c r="N145" s="448"/>
      <c r="O145" s="450">
        <f>ROUND(O144/12,2)</f>
        <v>37021.040000000001</v>
      </c>
    </row>
    <row r="146" spans="1:15" ht="16" thickBot="1" x14ac:dyDescent="0.25">
      <c r="A146" s="1979"/>
      <c r="B146" s="457" t="s">
        <v>239</v>
      </c>
      <c r="C146" s="461">
        <f>C144/12</f>
        <v>34439.083333333336</v>
      </c>
      <c r="D146" s="219">
        <f>ROUND(D145/160.33,2)</f>
        <v>230.91</v>
      </c>
      <c r="E146" s="464"/>
      <c r="F146" s="219">
        <f t="shared" ref="F146:O146" si="47">ROUND(F145/160.33,2)</f>
        <v>230.91</v>
      </c>
      <c r="G146" s="219">
        <f t="shared" si="47"/>
        <v>214.8</v>
      </c>
      <c r="H146" s="219">
        <f t="shared" si="47"/>
        <v>230.91</v>
      </c>
      <c r="I146" s="219">
        <f t="shared" si="47"/>
        <v>214.8</v>
      </c>
      <c r="J146" s="219">
        <f t="shared" si="47"/>
        <v>230.91</v>
      </c>
      <c r="K146" s="219">
        <f t="shared" si="47"/>
        <v>214.8</v>
      </c>
      <c r="L146" s="219">
        <f t="shared" si="47"/>
        <v>230.91</v>
      </c>
      <c r="M146" s="219">
        <f t="shared" si="47"/>
        <v>0</v>
      </c>
      <c r="N146" s="219">
        <f t="shared" si="47"/>
        <v>0</v>
      </c>
      <c r="O146" s="219">
        <f t="shared" si="47"/>
        <v>230.91</v>
      </c>
    </row>
    <row r="147" spans="1:15" x14ac:dyDescent="0.2">
      <c r="A147" s="1975">
        <v>48</v>
      </c>
      <c r="B147" s="225" t="s">
        <v>97</v>
      </c>
      <c r="C147" s="221">
        <v>441027</v>
      </c>
      <c r="D147" s="214">
        <f>ROUND((C147*(1+'Løntabel gældende fra'!$D$7%)),0)</f>
        <v>474092</v>
      </c>
      <c r="E147" s="222">
        <v>441027</v>
      </c>
      <c r="F147" s="223">
        <f>ROUND((E147*(1+'Løntabel gældende fra'!$D$7%)),0)</f>
        <v>474092</v>
      </c>
      <c r="G147" s="221">
        <v>441027</v>
      </c>
      <c r="H147" s="214">
        <f>ROUND((G147*(1+'Løntabel gældende fra'!$D$7%)),0)</f>
        <v>474092</v>
      </c>
      <c r="I147" s="222">
        <v>441027</v>
      </c>
      <c r="J147" s="223">
        <f>ROUND((I147*(1+'Løntabel gældende fra'!$D$7%)),0)</f>
        <v>474092</v>
      </c>
      <c r="K147" s="221">
        <v>441027</v>
      </c>
      <c r="L147" s="214">
        <f>ROUND((K147*(1+'Løntabel gældende fra'!$D$7%)),0)</f>
        <v>474092</v>
      </c>
      <c r="M147" s="471"/>
      <c r="N147" s="449">
        <v>441025.75</v>
      </c>
      <c r="O147" s="228">
        <f>ROUND(N147*(1+'Løntabel gældende fra'!$D$7%),2)</f>
        <v>474090.33</v>
      </c>
    </row>
    <row r="148" spans="1:15" x14ac:dyDescent="0.2">
      <c r="A148" s="1976"/>
      <c r="B148" s="455" t="s">
        <v>246</v>
      </c>
      <c r="C148" s="458"/>
      <c r="D148" s="465">
        <f>ROUND(D147/12,2)</f>
        <v>39507.67</v>
      </c>
      <c r="E148" s="462">
        <f>E147/12</f>
        <v>36752.25</v>
      </c>
      <c r="F148" s="447">
        <f>ROUND(F147/12,2)</f>
        <v>39507.67</v>
      </c>
      <c r="G148" s="458">
        <f>G147/12</f>
        <v>36752.25</v>
      </c>
      <c r="H148" s="465">
        <f>ROUND(H147/12,2)</f>
        <v>39507.67</v>
      </c>
      <c r="I148" s="462">
        <f>I147/12</f>
        <v>36752.25</v>
      </c>
      <c r="J148" s="447">
        <f>ROUND(J147/12,2)</f>
        <v>39507.67</v>
      </c>
      <c r="K148" s="458">
        <f>K147/12</f>
        <v>36752.25</v>
      </c>
      <c r="L148" s="465">
        <f>ROUND(L147/12,2)</f>
        <v>39507.67</v>
      </c>
      <c r="M148" s="470"/>
      <c r="N148" s="448"/>
      <c r="O148" s="450">
        <f>ROUND(O147/12,2)</f>
        <v>39507.53</v>
      </c>
    </row>
    <row r="149" spans="1:15" ht="16" thickBot="1" x14ac:dyDescent="0.25">
      <c r="A149" s="1977"/>
      <c r="B149" s="456" t="s">
        <v>239</v>
      </c>
      <c r="C149" s="218">
        <f>C147/12</f>
        <v>36752.25</v>
      </c>
      <c r="D149" s="219">
        <f>ROUND(D148/160.33,2)</f>
        <v>246.41</v>
      </c>
      <c r="E149" s="463"/>
      <c r="F149" s="219">
        <f t="shared" ref="F149:O149" si="48">ROUND(F148/160.33,2)</f>
        <v>246.41</v>
      </c>
      <c r="G149" s="219">
        <f t="shared" si="48"/>
        <v>229.23</v>
      </c>
      <c r="H149" s="219">
        <f t="shared" si="48"/>
        <v>246.41</v>
      </c>
      <c r="I149" s="219">
        <f t="shared" si="48"/>
        <v>229.23</v>
      </c>
      <c r="J149" s="219">
        <f t="shared" si="48"/>
        <v>246.41</v>
      </c>
      <c r="K149" s="219">
        <f t="shared" si="48"/>
        <v>229.23</v>
      </c>
      <c r="L149" s="219">
        <f t="shared" si="48"/>
        <v>246.41</v>
      </c>
      <c r="M149" s="219">
        <f t="shared" si="48"/>
        <v>0</v>
      </c>
      <c r="N149" s="219">
        <f t="shared" si="48"/>
        <v>0</v>
      </c>
      <c r="O149" s="219">
        <f t="shared" si="48"/>
        <v>246.41</v>
      </c>
    </row>
    <row r="150" spans="1:15" x14ac:dyDescent="0.2">
      <c r="A150" s="1978">
        <v>49</v>
      </c>
      <c r="B150" s="224" t="s">
        <v>97</v>
      </c>
      <c r="C150" s="213">
        <v>471781</v>
      </c>
      <c r="D150" s="217">
        <f>ROUND((C150*(1+'Løntabel gældende fra'!$D$7%)),0)</f>
        <v>507151</v>
      </c>
      <c r="E150" s="215">
        <v>471781</v>
      </c>
      <c r="F150" s="216">
        <f>ROUND((E150*(1+'Løntabel gældende fra'!$D$7%)),0)</f>
        <v>507151</v>
      </c>
      <c r="G150" s="213">
        <v>471781</v>
      </c>
      <c r="H150" s="217">
        <f>ROUND((G150*(1+'Løntabel gældende fra'!$D$7%)),0)</f>
        <v>507151</v>
      </c>
      <c r="I150" s="215">
        <v>471781</v>
      </c>
      <c r="J150" s="216">
        <f>ROUND((I150*(1+'Løntabel gældende fra'!$D$7%)),0)</f>
        <v>507151</v>
      </c>
      <c r="K150" s="213">
        <v>471781</v>
      </c>
      <c r="L150" s="217">
        <f>ROUND((K150*(1+'Løntabel gældende fra'!$D$7%)),0)</f>
        <v>507151</v>
      </c>
      <c r="M150" s="472"/>
      <c r="N150" s="451">
        <v>471780.9</v>
      </c>
      <c r="O150" s="452">
        <f>ROUND(N150*(1+'Løntabel gældende fra'!$D$7%),2)</f>
        <v>507151.26</v>
      </c>
    </row>
    <row r="151" spans="1:15" x14ac:dyDescent="0.2">
      <c r="A151" s="1976"/>
      <c r="B151" s="455" t="s">
        <v>246</v>
      </c>
      <c r="C151" s="458"/>
      <c r="D151" s="465">
        <f>ROUND(D150/12,2)</f>
        <v>42262.58</v>
      </c>
      <c r="E151" s="462">
        <f>E150/12</f>
        <v>39315.083333333336</v>
      </c>
      <c r="F151" s="447">
        <f>ROUND(F150/12,2)</f>
        <v>42262.58</v>
      </c>
      <c r="G151" s="458">
        <f>G150/12</f>
        <v>39315.083333333336</v>
      </c>
      <c r="H151" s="465">
        <f>ROUND(H150/12,2)</f>
        <v>42262.58</v>
      </c>
      <c r="I151" s="462">
        <f>I150/12</f>
        <v>39315.083333333336</v>
      </c>
      <c r="J151" s="447">
        <f>ROUND(J150/12,2)</f>
        <v>42262.58</v>
      </c>
      <c r="K151" s="458">
        <f>K150/12</f>
        <v>39315.083333333336</v>
      </c>
      <c r="L151" s="465">
        <f>ROUND(L150/12,2)</f>
        <v>42262.58</v>
      </c>
      <c r="M151" s="470"/>
      <c r="N151" s="448"/>
      <c r="O151" s="450">
        <f>ROUND(O150/12,2)</f>
        <v>42262.61</v>
      </c>
    </row>
    <row r="152" spans="1:15" ht="16" thickBot="1" x14ac:dyDescent="0.25">
      <c r="A152" s="1979"/>
      <c r="B152" s="457" t="s">
        <v>239</v>
      </c>
      <c r="C152" s="461">
        <f>C150/12</f>
        <v>39315.083333333336</v>
      </c>
      <c r="D152" s="219">
        <f>ROUND(D151/160.33,2)</f>
        <v>263.60000000000002</v>
      </c>
      <c r="E152" s="464"/>
      <c r="F152" s="219">
        <f t="shared" ref="F152:O152" si="49">ROUND(F151/160.33,2)</f>
        <v>263.60000000000002</v>
      </c>
      <c r="G152" s="219">
        <f t="shared" si="49"/>
        <v>245.21</v>
      </c>
      <c r="H152" s="219">
        <f t="shared" si="49"/>
        <v>263.60000000000002</v>
      </c>
      <c r="I152" s="219">
        <f t="shared" si="49"/>
        <v>245.21</v>
      </c>
      <c r="J152" s="219">
        <f t="shared" si="49"/>
        <v>263.60000000000002</v>
      </c>
      <c r="K152" s="219">
        <f t="shared" si="49"/>
        <v>245.21</v>
      </c>
      <c r="L152" s="219">
        <f t="shared" si="49"/>
        <v>263.60000000000002</v>
      </c>
      <c r="M152" s="219">
        <f t="shared" si="49"/>
        <v>0</v>
      </c>
      <c r="N152" s="219">
        <f t="shared" si="49"/>
        <v>0</v>
      </c>
      <c r="O152" s="219">
        <f t="shared" si="49"/>
        <v>263.60000000000002</v>
      </c>
    </row>
    <row r="153" spans="1:15" x14ac:dyDescent="0.2">
      <c r="A153" s="1975">
        <v>50</v>
      </c>
      <c r="B153" s="225" t="s">
        <v>97</v>
      </c>
      <c r="C153" s="221">
        <v>521094</v>
      </c>
      <c r="D153" s="214">
        <f>ROUND((C153*(1+'Løntabel gældende fra'!$D$7%)),0)</f>
        <v>560161</v>
      </c>
      <c r="E153" s="222">
        <v>521094</v>
      </c>
      <c r="F153" s="223">
        <f>ROUND((E153*(1+'Løntabel gældende fra'!$D$7%)),0)</f>
        <v>560161</v>
      </c>
      <c r="G153" s="467">
        <v>521094</v>
      </c>
      <c r="H153" s="214">
        <f>ROUND((G153*(1+'Løntabel gældende fra'!$D$7%)),0)</f>
        <v>560161</v>
      </c>
      <c r="I153" s="468">
        <v>521094</v>
      </c>
      <c r="J153" s="223">
        <f>ROUND((I153*(1+'Løntabel gældende fra'!$D$7%)),0)</f>
        <v>560161</v>
      </c>
      <c r="K153" s="467">
        <v>521094</v>
      </c>
      <c r="L153" s="214">
        <f>ROUND((K153*(1+'Løntabel gældende fra'!$D$7%)),0)</f>
        <v>560161</v>
      </c>
      <c r="M153" s="471"/>
      <c r="N153" s="449">
        <v>521094.47</v>
      </c>
      <c r="O153" s="228">
        <f>ROUND(N153*(1+'Løntabel gældende fra'!$D$7%),2)</f>
        <v>560161.96</v>
      </c>
    </row>
    <row r="154" spans="1:15" x14ac:dyDescent="0.2">
      <c r="A154" s="1976"/>
      <c r="B154" s="455" t="s">
        <v>246</v>
      </c>
      <c r="C154" s="458"/>
      <c r="D154" s="465">
        <f>ROUND(D153/12,2)</f>
        <v>46680.08</v>
      </c>
      <c r="E154" s="462">
        <f>E153/12</f>
        <v>43424.5</v>
      </c>
      <c r="F154" s="447">
        <f>ROUND(F153/12,2)</f>
        <v>46680.08</v>
      </c>
      <c r="G154" s="458">
        <f>G153/12</f>
        <v>43424.5</v>
      </c>
      <c r="H154" s="465">
        <f>ROUND(H153/12,2)</f>
        <v>46680.08</v>
      </c>
      <c r="I154" s="462">
        <f>I153/12</f>
        <v>43424.5</v>
      </c>
      <c r="J154" s="447">
        <f>ROUND(J153/12,2)</f>
        <v>46680.08</v>
      </c>
      <c r="K154" s="458">
        <f>K153/12</f>
        <v>43424.5</v>
      </c>
      <c r="L154" s="465">
        <f>ROUND(L153/12,2)</f>
        <v>46680.08</v>
      </c>
      <c r="M154" s="470"/>
      <c r="N154" s="448"/>
      <c r="O154" s="450">
        <f>ROUND(O153/12,2)</f>
        <v>46680.160000000003</v>
      </c>
    </row>
    <row r="155" spans="1:15" ht="16" thickBot="1" x14ac:dyDescent="0.25">
      <c r="A155" s="1977"/>
      <c r="B155" s="456" t="s">
        <v>239</v>
      </c>
      <c r="C155" s="218">
        <f>C153/12</f>
        <v>43424.5</v>
      </c>
      <c r="D155" s="219">
        <f>ROUND(D154/160.33,2)</f>
        <v>291.14999999999998</v>
      </c>
      <c r="E155" s="463"/>
      <c r="F155" s="219">
        <f t="shared" ref="F155:O155" si="50">ROUND(F154/160.33,2)</f>
        <v>291.14999999999998</v>
      </c>
      <c r="G155" s="219">
        <f t="shared" si="50"/>
        <v>270.83999999999997</v>
      </c>
      <c r="H155" s="219">
        <f t="shared" si="50"/>
        <v>291.14999999999998</v>
      </c>
      <c r="I155" s="219">
        <f t="shared" si="50"/>
        <v>270.83999999999997</v>
      </c>
      <c r="J155" s="219">
        <f t="shared" si="50"/>
        <v>291.14999999999998</v>
      </c>
      <c r="K155" s="219">
        <f t="shared" si="50"/>
        <v>270.83999999999997</v>
      </c>
      <c r="L155" s="219">
        <f t="shared" si="50"/>
        <v>291.14999999999998</v>
      </c>
      <c r="M155" s="219">
        <f t="shared" si="50"/>
        <v>0</v>
      </c>
      <c r="N155" s="219">
        <f t="shared" si="50"/>
        <v>0</v>
      </c>
      <c r="O155" s="219">
        <f t="shared" si="50"/>
        <v>291.14999999999998</v>
      </c>
    </row>
    <row r="156" spans="1:15" x14ac:dyDescent="0.2">
      <c r="A156" s="1978">
        <v>51</v>
      </c>
      <c r="B156" s="224" t="s">
        <v>97</v>
      </c>
      <c r="C156" s="213">
        <v>592911</v>
      </c>
      <c r="D156" s="217">
        <f>ROUND((C156*(1+'Løntabel gældende fra'!$D$7%)),0)</f>
        <v>637363</v>
      </c>
      <c r="E156" s="215">
        <v>592911</v>
      </c>
      <c r="F156" s="216">
        <f>ROUND((E156*(1+'Løntabel gældende fra'!$D$7%)),0)</f>
        <v>637363</v>
      </c>
      <c r="G156" s="226">
        <v>592911</v>
      </c>
      <c r="H156" s="217">
        <f>ROUND((G156*(1+'Løntabel gældende fra'!$D$7%)),0)</f>
        <v>637363</v>
      </c>
      <c r="I156" s="227">
        <v>592911</v>
      </c>
      <c r="J156" s="216">
        <f>ROUND((I156*(1+'Løntabel gældende fra'!$D$7%)),0)</f>
        <v>637363</v>
      </c>
      <c r="K156" s="226">
        <v>592911</v>
      </c>
      <c r="L156" s="217">
        <f>ROUND((K156*(1+'Løntabel gældende fra'!$D$7%)),0)</f>
        <v>637363</v>
      </c>
      <c r="M156" s="472"/>
      <c r="N156" s="451">
        <v>592911.94999999995</v>
      </c>
      <c r="O156" s="452">
        <f>ROUND(N156*(1+'Løntabel gældende fra'!$D$7%),2)</f>
        <v>637363.74</v>
      </c>
    </row>
    <row r="157" spans="1:15" x14ac:dyDescent="0.2">
      <c r="A157" s="1976"/>
      <c r="B157" s="455" t="s">
        <v>98</v>
      </c>
      <c r="C157" s="458"/>
      <c r="D157" s="465">
        <f>ROUND(D156/12,2)</f>
        <v>53113.58</v>
      </c>
      <c r="E157" s="462">
        <f>E156/12</f>
        <v>49409.25</v>
      </c>
      <c r="F157" s="447">
        <f>ROUND(F156/12,2)</f>
        <v>53113.58</v>
      </c>
      <c r="G157" s="458">
        <f>G156/12</f>
        <v>49409.25</v>
      </c>
      <c r="H157" s="465">
        <f>ROUND(H156/12,2)</f>
        <v>53113.58</v>
      </c>
      <c r="I157" s="462">
        <f>I156/12</f>
        <v>49409.25</v>
      </c>
      <c r="J157" s="447">
        <f>ROUND(J156/12,2)</f>
        <v>53113.58</v>
      </c>
      <c r="K157" s="458">
        <f>K156/12</f>
        <v>49409.25</v>
      </c>
      <c r="L157" s="465">
        <f>ROUND(L156/12,2)</f>
        <v>53113.58</v>
      </c>
      <c r="M157" s="470"/>
      <c r="N157" s="448"/>
      <c r="O157" s="450">
        <f>ROUND(O156/12,2)</f>
        <v>53113.65</v>
      </c>
    </row>
    <row r="158" spans="1:15" ht="16" thickBot="1" x14ac:dyDescent="0.25">
      <c r="A158" s="1977"/>
      <c r="B158" s="456" t="s">
        <v>239</v>
      </c>
      <c r="C158" s="218">
        <f>C156/12</f>
        <v>49409.25</v>
      </c>
      <c r="D158" s="219">
        <f>ROUND(D157/160.33,2)</f>
        <v>331.28</v>
      </c>
      <c r="E158" s="463"/>
      <c r="F158" s="219">
        <f t="shared" ref="F158:O158" si="51">ROUND(F157/160.33,2)</f>
        <v>331.28</v>
      </c>
      <c r="G158" s="219">
        <f t="shared" si="51"/>
        <v>308.17</v>
      </c>
      <c r="H158" s="219">
        <f t="shared" si="51"/>
        <v>331.28</v>
      </c>
      <c r="I158" s="219">
        <f t="shared" si="51"/>
        <v>308.17</v>
      </c>
      <c r="J158" s="219">
        <f t="shared" si="51"/>
        <v>331.28</v>
      </c>
      <c r="K158" s="219">
        <f t="shared" si="51"/>
        <v>308.17</v>
      </c>
      <c r="L158" s="219">
        <f t="shared" si="51"/>
        <v>331.28</v>
      </c>
      <c r="M158" s="219">
        <f t="shared" si="51"/>
        <v>0</v>
      </c>
      <c r="N158" s="219">
        <f t="shared" si="51"/>
        <v>0</v>
      </c>
      <c r="O158" s="219">
        <f t="shared" si="51"/>
        <v>331.28</v>
      </c>
    </row>
  </sheetData>
  <sheetProtection sheet="1" objects="1" scenarios="1"/>
  <mergeCells count="54"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"/>
  <sheetViews>
    <sheetView view="pageBreakPreview" zoomScale="125" zoomScaleNormal="125" zoomScalePageLayoutView="125" workbookViewId="0">
      <selection activeCell="C5" sqref="C5"/>
    </sheetView>
  </sheetViews>
  <sheetFormatPr baseColWidth="10" defaultColWidth="11.33203125" defaultRowHeight="15" x14ac:dyDescent="0.2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 x14ac:dyDescent="0.2">
      <c r="A1" t="s">
        <v>31</v>
      </c>
      <c r="C1" s="5"/>
      <c r="D1" s="797" t="s">
        <v>501</v>
      </c>
    </row>
    <row r="3" spans="1:9" ht="20" x14ac:dyDescent="0.2">
      <c r="A3" s="19" t="s">
        <v>25</v>
      </c>
      <c r="B3" s="20"/>
      <c r="C3" s="20"/>
      <c r="D3" s="20"/>
      <c r="E3" s="20"/>
      <c r="F3" s="20"/>
      <c r="G3" s="20"/>
    </row>
    <row r="4" spans="1:9" x14ac:dyDescent="0.2">
      <c r="A4" s="20"/>
      <c r="B4" s="20"/>
      <c r="C4" s="20"/>
      <c r="D4" s="20"/>
      <c r="E4" s="20"/>
      <c r="F4" s="20"/>
      <c r="G4" s="20"/>
      <c r="H4" s="2"/>
      <c r="I4" s="2"/>
    </row>
    <row r="5" spans="1:9" ht="18" x14ac:dyDescent="0.2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 x14ac:dyDescent="0.2">
      <c r="A6" s="20"/>
      <c r="B6" s="20"/>
      <c r="C6" s="20"/>
      <c r="D6" s="20"/>
      <c r="E6" s="20"/>
      <c r="F6" s="20"/>
      <c r="G6" s="20"/>
      <c r="H6" s="2"/>
      <c r="I6" s="2"/>
    </row>
    <row r="7" spans="1:9" ht="16" x14ac:dyDescent="0.2">
      <c r="A7" s="1992" t="s">
        <v>29</v>
      </c>
      <c r="B7" s="1992"/>
      <c r="C7" s="782">
        <v>43374</v>
      </c>
      <c r="D7" s="30">
        <v>7.4972000000000003</v>
      </c>
      <c r="E7" s="29" t="s">
        <v>33</v>
      </c>
      <c r="F7" s="29"/>
      <c r="G7" s="158" t="s">
        <v>502</v>
      </c>
      <c r="H7" s="2"/>
      <c r="I7" s="2"/>
    </row>
    <row r="8" spans="1:9" x14ac:dyDescent="0.2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 x14ac:dyDescent="0.25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 x14ac:dyDescent="0.2">
      <c r="A10" s="22" t="s">
        <v>27</v>
      </c>
      <c r="B10" s="23" t="s">
        <v>28</v>
      </c>
      <c r="C10" s="1993" t="s">
        <v>32</v>
      </c>
      <c r="D10" s="1994"/>
      <c r="E10" s="1994"/>
      <c r="F10" s="1994"/>
      <c r="G10" s="1994"/>
      <c r="H10" s="2"/>
      <c r="I10" s="2"/>
    </row>
    <row r="11" spans="1:9" x14ac:dyDescent="0.2">
      <c r="A11" s="239">
        <v>40999</v>
      </c>
      <c r="B11" s="31">
        <v>1</v>
      </c>
      <c r="C11" s="1993"/>
      <c r="D11" s="1994"/>
      <c r="E11" s="1994"/>
      <c r="F11" s="1994"/>
      <c r="G11" s="1994"/>
      <c r="H11" s="2"/>
      <c r="I11" s="2"/>
    </row>
    <row r="12" spans="1:9" x14ac:dyDescent="0.2">
      <c r="A12" s="101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 x14ac:dyDescent="0.2">
      <c r="A13" s="101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 x14ac:dyDescent="0.2">
      <c r="A14" s="240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 x14ac:dyDescent="0.2">
      <c r="A15" s="240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 x14ac:dyDescent="0.2">
      <c r="A16" s="240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 x14ac:dyDescent="0.2">
      <c r="A17" s="240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 x14ac:dyDescent="0.2">
      <c r="A18" s="240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 x14ac:dyDescent="0.2">
      <c r="A19" s="964">
        <v>43191</v>
      </c>
      <c r="B19" s="965">
        <v>6.9683000000000002</v>
      </c>
      <c r="C19" s="20"/>
      <c r="D19" s="20"/>
      <c r="E19" s="20"/>
      <c r="F19" s="20"/>
      <c r="G19" s="20"/>
      <c r="H19" s="2"/>
      <c r="I19" s="2"/>
    </row>
    <row r="20" spans="1:12" ht="16" thickBot="1" x14ac:dyDescent="0.25">
      <c r="A20" s="951">
        <v>43374</v>
      </c>
      <c r="B20" s="966">
        <v>7.4972000000000003</v>
      </c>
      <c r="C20" s="20"/>
      <c r="D20" s="20"/>
      <c r="E20" s="20"/>
      <c r="F20" s="20"/>
      <c r="G20" s="20"/>
      <c r="H20" s="2"/>
      <c r="I20" s="2"/>
    </row>
  </sheetData>
  <sheetProtection sheet="1" objects="1" scenarios="1"/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3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B26" sqref="B26:I27"/>
    </sheetView>
  </sheetViews>
  <sheetFormatPr baseColWidth="10" defaultColWidth="11.33203125" defaultRowHeight="15" x14ac:dyDescent="0.2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 x14ac:dyDescent="0.2">
      <c r="A1" s="1057" t="s">
        <v>303</v>
      </c>
      <c r="B1" s="1063" t="s">
        <v>294</v>
      </c>
      <c r="C1" s="1063"/>
      <c r="D1" s="1063"/>
      <c r="E1" s="1063"/>
      <c r="F1" s="1063"/>
      <c r="G1" s="1063"/>
      <c r="H1" s="1063"/>
      <c r="I1" s="1064"/>
    </row>
    <row r="2" spans="1:9" ht="16" thickBot="1" x14ac:dyDescent="0.25">
      <c r="A2" s="1058"/>
      <c r="B2" s="1065"/>
      <c r="C2" s="1065"/>
      <c r="D2" s="1065"/>
      <c r="E2" s="1065"/>
      <c r="F2" s="1065"/>
      <c r="G2" s="1065"/>
      <c r="H2" s="1065"/>
      <c r="I2" s="1066"/>
    </row>
    <row r="3" spans="1:9" ht="42" customHeight="1" thickBot="1" x14ac:dyDescent="0.25">
      <c r="A3" s="1058"/>
      <c r="B3" s="1049" t="s">
        <v>306</v>
      </c>
      <c r="C3" s="1050"/>
      <c r="D3" s="1050"/>
      <c r="E3" s="1050"/>
      <c r="F3" s="1050"/>
      <c r="G3" s="1050"/>
      <c r="H3" s="1050"/>
      <c r="I3" s="1051"/>
    </row>
    <row r="4" spans="1:9" ht="15" customHeight="1" x14ac:dyDescent="0.2">
      <c r="A4" s="1058"/>
      <c r="B4" s="602" t="s">
        <v>292</v>
      </c>
      <c r="C4" s="633" t="s">
        <v>277</v>
      </c>
      <c r="D4" s="634" t="s">
        <v>278</v>
      </c>
      <c r="E4" s="634" t="s">
        <v>279</v>
      </c>
      <c r="F4" s="633" t="s">
        <v>280</v>
      </c>
      <c r="G4" s="1041" t="s">
        <v>310</v>
      </c>
      <c r="H4" s="1041" t="s">
        <v>312</v>
      </c>
      <c r="I4" s="1043" t="s">
        <v>285</v>
      </c>
    </row>
    <row r="5" spans="1:9" ht="29" thickBot="1" x14ac:dyDescent="0.25">
      <c r="A5" s="1058"/>
      <c r="B5" s="603" t="s">
        <v>291</v>
      </c>
      <c r="C5" s="635" t="s">
        <v>297</v>
      </c>
      <c r="D5" s="635" t="s">
        <v>298</v>
      </c>
      <c r="E5" s="635" t="s">
        <v>299</v>
      </c>
      <c r="F5" s="635" t="s">
        <v>300</v>
      </c>
      <c r="G5" s="1042"/>
      <c r="H5" s="1042"/>
      <c r="I5" s="1044"/>
    </row>
    <row r="6" spans="1:9" x14ac:dyDescent="0.2">
      <c r="A6" s="1058"/>
      <c r="B6" s="618" t="s">
        <v>281</v>
      </c>
      <c r="C6" s="626" t="s">
        <v>282</v>
      </c>
      <c r="D6" s="626" t="s">
        <v>282</v>
      </c>
      <c r="E6" s="626" t="s">
        <v>282</v>
      </c>
      <c r="F6" s="626" t="s">
        <v>282</v>
      </c>
      <c r="G6" s="597" t="s">
        <v>287</v>
      </c>
      <c r="H6" s="597" t="s">
        <v>287</v>
      </c>
      <c r="I6" s="598" t="s">
        <v>287</v>
      </c>
    </row>
    <row r="7" spans="1:9" x14ac:dyDescent="0.2">
      <c r="A7" s="1058"/>
      <c r="B7" s="619" t="s">
        <v>305</v>
      </c>
      <c r="C7" s="624" t="s">
        <v>282</v>
      </c>
      <c r="D7" s="624" t="s">
        <v>282</v>
      </c>
      <c r="E7" s="624" t="s">
        <v>282</v>
      </c>
      <c r="F7" s="624" t="s">
        <v>282</v>
      </c>
      <c r="G7" s="624" t="s">
        <v>288</v>
      </c>
      <c r="H7" s="596" t="s">
        <v>287</v>
      </c>
      <c r="I7" s="599" t="s">
        <v>288</v>
      </c>
    </row>
    <row r="8" spans="1:9" x14ac:dyDescent="0.2">
      <c r="A8" s="1058"/>
      <c r="B8" s="619" t="s">
        <v>13</v>
      </c>
      <c r="C8" s="624" t="s">
        <v>282</v>
      </c>
      <c r="D8" s="624" t="s">
        <v>282</v>
      </c>
      <c r="E8" s="624" t="s">
        <v>282</v>
      </c>
      <c r="F8" s="624" t="s">
        <v>282</v>
      </c>
      <c r="G8" s="624" t="s">
        <v>287</v>
      </c>
      <c r="H8" s="624" t="s">
        <v>288</v>
      </c>
      <c r="I8" s="599" t="s">
        <v>287</v>
      </c>
    </row>
    <row r="9" spans="1:9" x14ac:dyDescent="0.2">
      <c r="A9" s="1058"/>
      <c r="B9" s="619" t="s">
        <v>283</v>
      </c>
      <c r="C9" s="624" t="s">
        <v>282</v>
      </c>
      <c r="D9" s="624" t="s">
        <v>282</v>
      </c>
      <c r="E9" s="624" t="s">
        <v>282</v>
      </c>
      <c r="F9" s="624"/>
      <c r="G9" s="624" t="s">
        <v>288</v>
      </c>
      <c r="H9" s="624" t="s">
        <v>287</v>
      </c>
      <c r="I9" s="599" t="s">
        <v>287</v>
      </c>
    </row>
    <row r="10" spans="1:9" x14ac:dyDescent="0.2">
      <c r="A10" s="1058"/>
      <c r="B10" s="619" t="s">
        <v>284</v>
      </c>
      <c r="C10" s="624" t="s">
        <v>282</v>
      </c>
      <c r="D10" s="624" t="s">
        <v>282</v>
      </c>
      <c r="E10" s="624" t="s">
        <v>282</v>
      </c>
      <c r="F10" s="624" t="s">
        <v>282</v>
      </c>
      <c r="G10" s="624" t="s">
        <v>287</v>
      </c>
      <c r="H10" s="624" t="s">
        <v>287</v>
      </c>
      <c r="I10" s="599" t="s">
        <v>287</v>
      </c>
    </row>
    <row r="11" spans="1:9" x14ac:dyDescent="0.2">
      <c r="A11" s="1058"/>
      <c r="B11" s="619" t="s">
        <v>498</v>
      </c>
      <c r="C11" s="960" t="s">
        <v>282</v>
      </c>
      <c r="D11" s="960" t="s">
        <v>282</v>
      </c>
      <c r="E11" s="960" t="s">
        <v>282</v>
      </c>
      <c r="F11" s="960" t="s">
        <v>282</v>
      </c>
      <c r="G11" s="961" t="s">
        <v>287</v>
      </c>
      <c r="H11" s="961" t="s">
        <v>287</v>
      </c>
      <c r="I11" s="962" t="s">
        <v>287</v>
      </c>
    </row>
    <row r="12" spans="1:9" x14ac:dyDescent="0.2">
      <c r="A12" s="1058"/>
      <c r="B12" s="1038" t="s">
        <v>319</v>
      </c>
      <c r="C12" s="1039"/>
      <c r="D12" s="1039"/>
      <c r="E12" s="1039"/>
      <c r="F12" s="1039" t="s">
        <v>290</v>
      </c>
      <c r="G12" s="1045" t="s">
        <v>287</v>
      </c>
      <c r="H12" s="1045" t="s">
        <v>287</v>
      </c>
      <c r="I12" s="1047" t="s">
        <v>287</v>
      </c>
    </row>
    <row r="13" spans="1:9" x14ac:dyDescent="0.2">
      <c r="A13" s="1058"/>
      <c r="B13" s="1038"/>
      <c r="C13" s="1039"/>
      <c r="D13" s="1039"/>
      <c r="E13" s="1039"/>
      <c r="F13" s="1039"/>
      <c r="G13" s="1046"/>
      <c r="H13" s="1046"/>
      <c r="I13" s="1048"/>
    </row>
    <row r="14" spans="1:9" x14ac:dyDescent="0.2">
      <c r="A14" s="1058"/>
      <c r="B14" s="623" t="s">
        <v>325</v>
      </c>
      <c r="C14" s="624" t="s">
        <v>290</v>
      </c>
      <c r="D14" s="624" t="s">
        <v>290</v>
      </c>
      <c r="E14" s="624" t="s">
        <v>290</v>
      </c>
      <c r="F14" s="624" t="s">
        <v>290</v>
      </c>
      <c r="G14" s="626" t="s">
        <v>287</v>
      </c>
      <c r="H14" s="626" t="s">
        <v>287</v>
      </c>
      <c r="I14" s="627" t="s">
        <v>287</v>
      </c>
    </row>
    <row r="15" spans="1:9" x14ac:dyDescent="0.2">
      <c r="A15" s="1058"/>
      <c r="B15" s="619" t="s">
        <v>293</v>
      </c>
      <c r="C15" s="624" t="s">
        <v>282</v>
      </c>
      <c r="D15" s="624" t="s">
        <v>282</v>
      </c>
      <c r="E15" s="624" t="s">
        <v>282</v>
      </c>
      <c r="F15" s="624" t="s">
        <v>282</v>
      </c>
      <c r="G15" s="624" t="s">
        <v>287</v>
      </c>
      <c r="H15" s="624" t="s">
        <v>288</v>
      </c>
      <c r="I15" s="599" t="s">
        <v>287</v>
      </c>
    </row>
    <row r="16" spans="1:9" x14ac:dyDescent="0.2">
      <c r="A16" s="1058"/>
      <c r="B16" s="1071" t="s">
        <v>400</v>
      </c>
      <c r="C16" s="1040" t="s">
        <v>282</v>
      </c>
      <c r="D16" s="1039" t="s">
        <v>282</v>
      </c>
      <c r="E16" s="1039" t="s">
        <v>282</v>
      </c>
      <c r="F16" s="1040" t="s">
        <v>282</v>
      </c>
      <c r="G16" s="1045" t="s">
        <v>288</v>
      </c>
      <c r="H16" s="1045" t="s">
        <v>288</v>
      </c>
      <c r="I16" s="1047" t="s">
        <v>287</v>
      </c>
    </row>
    <row r="17" spans="1:9" ht="1" customHeight="1" x14ac:dyDescent="0.2">
      <c r="A17" s="1058"/>
      <c r="B17" s="1071"/>
      <c r="C17" s="1040"/>
      <c r="D17" s="1039"/>
      <c r="E17" s="1039"/>
      <c r="F17" s="1040"/>
      <c r="G17" s="1046"/>
      <c r="H17" s="1046"/>
      <c r="I17" s="1048"/>
    </row>
    <row r="18" spans="1:9" ht="42" x14ac:dyDescent="0.2">
      <c r="A18" s="1058"/>
      <c r="B18" s="619" t="s">
        <v>307</v>
      </c>
      <c r="C18" s="624" t="s">
        <v>282</v>
      </c>
      <c r="D18" s="624" t="s">
        <v>282</v>
      </c>
      <c r="E18" s="624" t="s">
        <v>282</v>
      </c>
      <c r="F18" s="624" t="s">
        <v>282</v>
      </c>
      <c r="G18" s="818" t="s">
        <v>397</v>
      </c>
      <c r="H18" s="624" t="s">
        <v>288</v>
      </c>
      <c r="I18" s="599" t="s">
        <v>287</v>
      </c>
    </row>
    <row r="19" spans="1:9" x14ac:dyDescent="0.2">
      <c r="A19" s="1058"/>
      <c r="B19" s="619" t="s">
        <v>68</v>
      </c>
      <c r="C19" s="624" t="s">
        <v>282</v>
      </c>
      <c r="D19" s="624" t="s">
        <v>282</v>
      </c>
      <c r="E19" s="624" t="s">
        <v>282</v>
      </c>
      <c r="F19" s="624" t="s">
        <v>282</v>
      </c>
      <c r="G19" s="624" t="s">
        <v>288</v>
      </c>
      <c r="H19" s="625" t="s">
        <v>288</v>
      </c>
      <c r="I19" s="599" t="s">
        <v>288</v>
      </c>
    </row>
    <row r="20" spans="1:9" x14ac:dyDescent="0.2">
      <c r="A20" s="1058"/>
      <c r="B20" s="619" t="s">
        <v>289</v>
      </c>
      <c r="C20" s="624" t="s">
        <v>282</v>
      </c>
      <c r="D20" s="624" t="s">
        <v>282</v>
      </c>
      <c r="E20" s="624" t="s">
        <v>282</v>
      </c>
      <c r="F20" s="624" t="s">
        <v>282</v>
      </c>
      <c r="G20" s="624" t="s">
        <v>287</v>
      </c>
      <c r="H20" s="1069" t="s">
        <v>311</v>
      </c>
      <c r="I20" s="599" t="s">
        <v>287</v>
      </c>
    </row>
    <row r="21" spans="1:9" ht="16" thickBot="1" x14ac:dyDescent="0.25">
      <c r="A21" s="1058"/>
      <c r="B21" s="620" t="s">
        <v>286</v>
      </c>
      <c r="C21" s="600" t="s">
        <v>282</v>
      </c>
      <c r="D21" s="600" t="s">
        <v>282</v>
      </c>
      <c r="E21" s="600" t="s">
        <v>282</v>
      </c>
      <c r="F21" s="600" t="s">
        <v>282</v>
      </c>
      <c r="G21" s="600" t="s">
        <v>287</v>
      </c>
      <c r="H21" s="1070"/>
      <c r="I21" s="601" t="s">
        <v>287</v>
      </c>
    </row>
    <row r="22" spans="1:9" x14ac:dyDescent="0.2">
      <c r="A22" s="1058"/>
      <c r="B22" s="621" t="s">
        <v>261</v>
      </c>
      <c r="C22" s="611"/>
      <c r="D22" s="611"/>
      <c r="E22" s="612"/>
      <c r="F22" s="612"/>
      <c r="G22" s="613"/>
      <c r="H22" s="613"/>
      <c r="I22" s="614"/>
    </row>
    <row r="23" spans="1:9" x14ac:dyDescent="0.2">
      <c r="A23" s="1058"/>
      <c r="B23" s="628" t="s">
        <v>262</v>
      </c>
      <c r="C23" s="628"/>
      <c r="D23" s="628"/>
      <c r="E23" s="629"/>
      <c r="F23" s="629"/>
      <c r="G23" s="59"/>
      <c r="H23" s="59"/>
      <c r="I23" s="615"/>
    </row>
    <row r="24" spans="1:9" x14ac:dyDescent="0.2">
      <c r="A24" s="1058"/>
      <c r="B24" s="628" t="s">
        <v>340</v>
      </c>
      <c r="C24" s="628"/>
      <c r="D24" s="628"/>
      <c r="E24" s="629"/>
      <c r="F24" s="629"/>
      <c r="G24" s="59"/>
      <c r="H24" s="59"/>
      <c r="I24" s="615"/>
    </row>
    <row r="25" spans="1:9" x14ac:dyDescent="0.2">
      <c r="A25" s="1058"/>
      <c r="B25" s="649" t="s">
        <v>339</v>
      </c>
      <c r="C25" s="649"/>
      <c r="D25" s="649"/>
      <c r="E25" s="650"/>
      <c r="F25" s="650"/>
      <c r="G25" s="59"/>
      <c r="H25" s="59"/>
      <c r="I25" s="615"/>
    </row>
    <row r="26" spans="1:9" x14ac:dyDescent="0.2">
      <c r="A26" s="1058"/>
      <c r="B26" s="1067" t="s">
        <v>295</v>
      </c>
      <c r="C26" s="1067"/>
      <c r="D26" s="1067"/>
      <c r="E26" s="1067"/>
      <c r="F26" s="1067"/>
      <c r="G26" s="1067"/>
      <c r="H26" s="1067"/>
      <c r="I26" s="1068"/>
    </row>
    <row r="27" spans="1:9" x14ac:dyDescent="0.2">
      <c r="A27" s="1058"/>
      <c r="B27" s="1067"/>
      <c r="C27" s="1067"/>
      <c r="D27" s="1067"/>
      <c r="E27" s="1067"/>
      <c r="F27" s="1067"/>
      <c r="G27" s="1067"/>
      <c r="H27" s="1067"/>
      <c r="I27" s="1068"/>
    </row>
    <row r="28" spans="1:9" ht="16" thickBot="1" x14ac:dyDescent="0.25">
      <c r="A28" s="1059"/>
      <c r="B28" s="616"/>
      <c r="C28" s="616"/>
      <c r="D28" s="616"/>
      <c r="E28" s="616"/>
      <c r="F28" s="616"/>
      <c r="G28" s="616"/>
      <c r="H28" s="616"/>
      <c r="I28" s="617"/>
    </row>
    <row r="29" spans="1:9" x14ac:dyDescent="0.2">
      <c r="B29" s="604"/>
      <c r="C29" s="604"/>
      <c r="D29" s="604"/>
      <c r="E29" s="604"/>
      <c r="F29" s="604"/>
      <c r="G29" s="604"/>
      <c r="H29" s="604"/>
      <c r="I29" s="604"/>
    </row>
    <row r="30" spans="1:9" ht="16" thickBot="1" x14ac:dyDescent="0.25">
      <c r="B30" s="591"/>
      <c r="C30" s="591"/>
      <c r="D30" s="591"/>
      <c r="E30" s="80"/>
      <c r="F30" s="594"/>
      <c r="G30" s="595"/>
      <c r="H30" s="595"/>
      <c r="I30" s="595"/>
    </row>
    <row r="31" spans="1:9" ht="22" customHeight="1" thickBot="1" x14ac:dyDescent="0.3">
      <c r="A31" s="1057" t="s">
        <v>302</v>
      </c>
      <c r="B31" s="1055" t="s">
        <v>296</v>
      </c>
      <c r="C31" s="1055"/>
      <c r="D31" s="1055"/>
      <c r="E31" s="1055"/>
      <c r="F31" s="1055"/>
      <c r="G31" s="1055"/>
      <c r="H31" s="1055"/>
      <c r="I31" s="1056"/>
    </row>
    <row r="32" spans="1:9" ht="37" customHeight="1" thickBot="1" x14ac:dyDescent="0.25">
      <c r="A32" s="1058"/>
      <c r="B32" s="1052" t="s">
        <v>304</v>
      </c>
      <c r="C32" s="1053"/>
      <c r="D32" s="1053"/>
      <c r="E32" s="1053"/>
      <c r="F32" s="1053"/>
      <c r="G32" s="1053"/>
      <c r="H32" s="1053"/>
      <c r="I32" s="1054"/>
    </row>
    <row r="33" spans="1:11" ht="17" thickBot="1" x14ac:dyDescent="0.25">
      <c r="A33" s="1058"/>
      <c r="B33" s="605" t="s">
        <v>314</v>
      </c>
      <c r="C33" s="605"/>
      <c r="D33" s="605"/>
      <c r="E33" s="605"/>
      <c r="F33" s="605"/>
      <c r="G33" s="1026" t="s">
        <v>57</v>
      </c>
      <c r="H33" s="1027"/>
      <c r="I33" s="1028"/>
    </row>
    <row r="34" spans="1:11" x14ac:dyDescent="0.2">
      <c r="A34" s="1058"/>
      <c r="B34" s="606" t="s">
        <v>264</v>
      </c>
      <c r="C34" s="606"/>
      <c r="D34" s="606"/>
      <c r="E34" s="606"/>
      <c r="F34" s="606"/>
      <c r="G34" s="1023" t="s">
        <v>308</v>
      </c>
      <c r="H34" s="1024"/>
      <c r="I34" s="1025"/>
    </row>
    <row r="35" spans="1:11" x14ac:dyDescent="0.2">
      <c r="A35" s="1058"/>
      <c r="B35" s="607" t="s">
        <v>326</v>
      </c>
      <c r="C35" s="607"/>
      <c r="D35" s="607"/>
      <c r="E35" s="607"/>
      <c r="F35" s="607"/>
      <c r="G35" s="1029" t="s">
        <v>309</v>
      </c>
      <c r="H35" s="1030"/>
      <c r="I35" s="1031"/>
    </row>
    <row r="36" spans="1:11" ht="16" thickBot="1" x14ac:dyDescent="0.25">
      <c r="A36" s="1058"/>
      <c r="B36" s="608" t="s">
        <v>327</v>
      </c>
      <c r="C36" s="608"/>
      <c r="D36" s="608"/>
      <c r="E36" s="608"/>
      <c r="F36" s="608"/>
      <c r="G36" s="1017">
        <v>48</v>
      </c>
      <c r="H36" s="1018"/>
      <c r="I36" s="1019"/>
    </row>
    <row r="37" spans="1:11" ht="16" thickBot="1" x14ac:dyDescent="0.25">
      <c r="A37" s="1058"/>
      <c r="B37" s="1060"/>
      <c r="C37" s="1061"/>
      <c r="D37" s="1061"/>
      <c r="E37" s="1061"/>
      <c r="F37" s="1061"/>
      <c r="G37" s="1061"/>
      <c r="H37" s="1061"/>
      <c r="I37" s="1062"/>
      <c r="J37" s="622"/>
      <c r="K37" s="622"/>
    </row>
    <row r="38" spans="1:11" ht="17" thickBot="1" x14ac:dyDescent="0.25">
      <c r="A38" s="1058"/>
      <c r="B38" s="605" t="s">
        <v>313</v>
      </c>
      <c r="C38" s="605"/>
      <c r="D38" s="605"/>
      <c r="E38" s="605"/>
      <c r="F38" s="605"/>
      <c r="G38" s="1020" t="s">
        <v>57</v>
      </c>
      <c r="H38" s="1021"/>
      <c r="I38" s="1022"/>
    </row>
    <row r="39" spans="1:11" x14ac:dyDescent="0.2">
      <c r="A39" s="1058"/>
      <c r="B39" s="609" t="s">
        <v>265</v>
      </c>
      <c r="C39" s="609"/>
      <c r="D39" s="609"/>
      <c r="E39" s="609"/>
      <c r="F39" s="609"/>
      <c r="G39" s="1023" t="s">
        <v>269</v>
      </c>
      <c r="H39" s="1024"/>
      <c r="I39" s="1025"/>
    </row>
    <row r="40" spans="1:11" x14ac:dyDescent="0.2">
      <c r="A40" s="1058"/>
      <c r="B40" s="607" t="s">
        <v>266</v>
      </c>
      <c r="C40" s="607"/>
      <c r="D40" s="607"/>
      <c r="E40" s="607"/>
      <c r="F40" s="607"/>
      <c r="G40" s="1029" t="s">
        <v>270</v>
      </c>
      <c r="H40" s="1030"/>
      <c r="I40" s="1031"/>
    </row>
    <row r="41" spans="1:11" x14ac:dyDescent="0.2">
      <c r="A41" s="1058"/>
      <c r="B41" s="607" t="s">
        <v>267</v>
      </c>
      <c r="C41" s="607"/>
      <c r="D41" s="607"/>
      <c r="E41" s="607"/>
      <c r="F41" s="607"/>
      <c r="G41" s="1029" t="s">
        <v>271</v>
      </c>
      <c r="H41" s="1030"/>
      <c r="I41" s="1031"/>
    </row>
    <row r="42" spans="1:11" ht="16" thickBot="1" x14ac:dyDescent="0.25">
      <c r="A42" s="1058"/>
      <c r="B42" s="608" t="s">
        <v>268</v>
      </c>
      <c r="C42" s="608"/>
      <c r="D42" s="608"/>
      <c r="E42" s="608"/>
      <c r="F42" s="608"/>
      <c r="G42" s="1017" t="s">
        <v>272</v>
      </c>
      <c r="H42" s="1018"/>
      <c r="I42" s="1019"/>
    </row>
    <row r="43" spans="1:11" ht="16" thickBot="1" x14ac:dyDescent="0.25">
      <c r="A43" s="1058"/>
      <c r="B43" s="1060"/>
      <c r="C43" s="1061"/>
      <c r="D43" s="1061"/>
      <c r="E43" s="1061"/>
      <c r="F43" s="1061"/>
      <c r="G43" s="1061"/>
      <c r="H43" s="1061"/>
      <c r="I43" s="1062"/>
      <c r="J43" s="622"/>
      <c r="K43" s="622"/>
    </row>
    <row r="44" spans="1:11" ht="16" x14ac:dyDescent="0.2">
      <c r="A44" s="1058"/>
      <c r="B44" s="592" t="s">
        <v>315</v>
      </c>
      <c r="C44" s="592"/>
      <c r="D44" s="592"/>
      <c r="E44" s="592"/>
      <c r="F44" s="592"/>
      <c r="G44" s="1032" t="s">
        <v>276</v>
      </c>
      <c r="H44" s="1033"/>
      <c r="I44" s="1034"/>
    </row>
    <row r="45" spans="1:11" x14ac:dyDescent="0.2">
      <c r="A45" s="1058"/>
      <c r="B45" s="593" t="s">
        <v>316</v>
      </c>
      <c r="C45" s="593"/>
      <c r="D45" s="593"/>
      <c r="E45" s="593"/>
      <c r="F45" s="593"/>
      <c r="G45" s="1035"/>
      <c r="H45" s="1036"/>
      <c r="I45" s="1037"/>
    </row>
    <row r="46" spans="1:11" x14ac:dyDescent="0.2">
      <c r="A46" s="1058"/>
      <c r="B46" s="610" t="s">
        <v>273</v>
      </c>
      <c r="C46" s="610"/>
      <c r="D46" s="610"/>
      <c r="E46" s="610"/>
      <c r="F46" s="610"/>
      <c r="G46" s="1029" t="s">
        <v>274</v>
      </c>
      <c r="H46" s="1030"/>
      <c r="I46" s="1031"/>
    </row>
    <row r="47" spans="1:11" ht="16" thickBot="1" x14ac:dyDescent="0.25">
      <c r="A47" s="1059"/>
      <c r="B47" s="303" t="s">
        <v>317</v>
      </c>
      <c r="C47" s="303"/>
      <c r="D47" s="303"/>
      <c r="E47" s="303"/>
      <c r="F47" s="303"/>
      <c r="G47" s="1017" t="s">
        <v>275</v>
      </c>
      <c r="H47" s="1018"/>
      <c r="I47" s="1019"/>
    </row>
  </sheetData>
  <sheetProtection sheet="1" objects="1" scenarios="1"/>
  <mergeCells count="41">
    <mergeCell ref="B3:I3"/>
    <mergeCell ref="B32:I32"/>
    <mergeCell ref="B31:I31"/>
    <mergeCell ref="A1:A28"/>
    <mergeCell ref="A31:A47"/>
    <mergeCell ref="B37:I37"/>
    <mergeCell ref="B43:I43"/>
    <mergeCell ref="B1:I2"/>
    <mergeCell ref="B26:I27"/>
    <mergeCell ref="G16:G17"/>
    <mergeCell ref="H16:H17"/>
    <mergeCell ref="I16:I17"/>
    <mergeCell ref="H20:H21"/>
    <mergeCell ref="B16:B17"/>
    <mergeCell ref="C16:C17"/>
    <mergeCell ref="D16:D17"/>
    <mergeCell ref="E16:E17"/>
    <mergeCell ref="F16:F17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F12:F13"/>
    <mergeCell ref="G44:I45"/>
    <mergeCell ref="G46:I46"/>
    <mergeCell ref="G47:I47"/>
    <mergeCell ref="G40:I40"/>
    <mergeCell ref="G41:I41"/>
    <mergeCell ref="G42:I42"/>
    <mergeCell ref="G36:I36"/>
    <mergeCell ref="G38:I38"/>
    <mergeCell ref="G39:I39"/>
    <mergeCell ref="G33:I33"/>
    <mergeCell ref="G34:I34"/>
    <mergeCell ref="G35:I35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214"/>
  <sheetViews>
    <sheetView view="pageBreakPreview" topLeftCell="A50" zoomScaleSheetLayoutView="125" workbookViewId="0">
      <selection activeCell="F18" sqref="F18:F19"/>
    </sheetView>
  </sheetViews>
  <sheetFormatPr baseColWidth="10" defaultColWidth="8.83203125" defaultRowHeight="14" x14ac:dyDescent="0.15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 x14ac:dyDescent="0.2">
      <c r="A1" s="1187" t="s">
        <v>19</v>
      </c>
      <c r="B1" s="1188"/>
      <c r="C1" s="1188"/>
      <c r="D1" s="1188"/>
      <c r="E1" s="1188"/>
      <c r="F1" s="1188"/>
      <c r="G1" s="1188"/>
      <c r="H1" s="1188"/>
      <c r="I1" s="1189"/>
      <c r="J1" s="42"/>
    </row>
    <row r="2" spans="1:22" ht="23" customHeight="1" x14ac:dyDescent="0.2">
      <c r="A2" s="1198" t="s">
        <v>6</v>
      </c>
      <c r="B2" s="1199"/>
      <c r="C2" s="1199"/>
      <c r="D2" s="1199"/>
      <c r="E2" s="1199"/>
      <c r="F2" s="1199"/>
      <c r="G2" s="1199"/>
      <c r="H2" s="1199"/>
      <c r="I2" s="1200"/>
    </row>
    <row r="3" spans="1:22" ht="24" customHeight="1" thickBot="1" x14ac:dyDescent="0.25">
      <c r="A3" s="1159" t="str">
        <f>'Forside 1'!A6:I6</f>
        <v>Gældende fra 1. oktober 2018</v>
      </c>
      <c r="B3" s="1160"/>
      <c r="C3" s="1160"/>
      <c r="D3" s="1160"/>
      <c r="E3" s="1160"/>
      <c r="F3" s="1160"/>
      <c r="G3" s="1160"/>
      <c r="H3" s="1160"/>
      <c r="I3" s="1161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N4" s="1158"/>
      <c r="O4" s="1158"/>
      <c r="P4" s="1158"/>
      <c r="Q4" s="1158"/>
      <c r="R4" s="1158"/>
      <c r="S4" s="1158"/>
      <c r="T4" s="1158"/>
      <c r="U4" s="1158"/>
      <c r="V4" s="1158"/>
    </row>
    <row r="5" spans="1:22" ht="20" customHeight="1" x14ac:dyDescent="0.2">
      <c r="A5" s="1097" t="s">
        <v>281</v>
      </c>
      <c r="B5" s="1098"/>
      <c r="C5" s="1098"/>
      <c r="D5" s="1098"/>
      <c r="E5" s="1098"/>
      <c r="F5" s="1098"/>
      <c r="G5" s="1098"/>
      <c r="H5" s="1099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 x14ac:dyDescent="0.25">
      <c r="A6" s="1178" t="s">
        <v>517</v>
      </c>
      <c r="B6" s="1179"/>
      <c r="C6" s="1179"/>
      <c r="D6" s="1179"/>
      <c r="E6" s="1179"/>
      <c r="F6" s="1179"/>
      <c r="G6" s="1179"/>
      <c r="H6" s="1180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 x14ac:dyDescent="0.2">
      <c r="A7" s="1171" t="s">
        <v>95</v>
      </c>
      <c r="B7" s="1168" t="s">
        <v>0</v>
      </c>
      <c r="C7" s="1122" t="s">
        <v>4</v>
      </c>
      <c r="D7" s="1122"/>
      <c r="E7" s="1190"/>
      <c r="F7" s="1165" t="s">
        <v>5</v>
      </c>
      <c r="G7" s="1166"/>
      <c r="H7" s="1167"/>
      <c r="I7" s="69"/>
      <c r="J7" s="27"/>
    </row>
    <row r="8" spans="1:22" ht="28" x14ac:dyDescent="0.15">
      <c r="A8" s="1172"/>
      <c r="B8" s="1169"/>
      <c r="C8" s="395" t="s">
        <v>137</v>
      </c>
      <c r="D8" s="395" t="s">
        <v>390</v>
      </c>
      <c r="E8" s="395" t="s">
        <v>301</v>
      </c>
      <c r="F8" s="785" t="s">
        <v>137</v>
      </c>
      <c r="G8" s="785" t="s">
        <v>390</v>
      </c>
      <c r="H8" s="785" t="s">
        <v>301</v>
      </c>
      <c r="I8" s="56"/>
    </row>
    <row r="9" spans="1:22" ht="18" customHeight="1" thickBot="1" x14ac:dyDescent="0.2">
      <c r="A9" s="1173"/>
      <c r="B9" s="1170"/>
      <c r="C9" s="396">
        <v>40999</v>
      </c>
      <c r="D9" s="396" t="str">
        <f>'Løntabel gældende fra'!$D$1</f>
        <v>01/10/2018</v>
      </c>
      <c r="E9" s="396" t="str">
        <f>'Løntabel gældende fra'!$D$1</f>
        <v>01/10/2018</v>
      </c>
      <c r="F9" s="397">
        <v>40999</v>
      </c>
      <c r="G9" s="396" t="str">
        <f>'Løntabel gældende fra'!$D$1</f>
        <v>01/10/2018</v>
      </c>
      <c r="H9" s="396" t="str">
        <f>'Løntabel gældende fra'!$D$1</f>
        <v>01/10/2018</v>
      </c>
      <c r="I9" s="67"/>
    </row>
    <row r="10" spans="1:22" ht="15" customHeight="1" x14ac:dyDescent="0.15">
      <c r="A10" s="400" t="s">
        <v>1</v>
      </c>
      <c r="B10" s="401">
        <v>1</v>
      </c>
      <c r="C10" s="160">
        <v>279695</v>
      </c>
      <c r="D10" s="161">
        <f>C10+(C10*'Løntabel gældende fra'!$D$7%)</f>
        <v>300664.29353999998</v>
      </c>
      <c r="E10" s="161">
        <f>D10/12</f>
        <v>25055.357795</v>
      </c>
      <c r="F10" s="160">
        <v>266588</v>
      </c>
      <c r="G10" s="162">
        <f>F10+(F10*'Løntabel gældende fra'!$D$7%)</f>
        <v>286574.63553600002</v>
      </c>
      <c r="H10" s="161">
        <f>G10/12</f>
        <v>23881.219628000003</v>
      </c>
      <c r="I10" s="10"/>
    </row>
    <row r="11" spans="1:22" ht="15" customHeight="1" x14ac:dyDescent="0.15">
      <c r="A11" s="402" t="s">
        <v>51</v>
      </c>
      <c r="B11" s="403">
        <v>2</v>
      </c>
      <c r="C11" s="163">
        <v>298044</v>
      </c>
      <c r="D11" s="164">
        <f>C11+(C11*'Løntabel gældende fra'!$D$7%)</f>
        <v>320388.954768</v>
      </c>
      <c r="E11" s="164">
        <f>D11/12</f>
        <v>26699.079564</v>
      </c>
      <c r="F11" s="163">
        <v>279695</v>
      </c>
      <c r="G11" s="165">
        <f>F11+(F11*'Løntabel gældende fra'!$D$7%)</f>
        <v>300664.29353999998</v>
      </c>
      <c r="H11" s="166">
        <f>G11/12</f>
        <v>25055.357795</v>
      </c>
      <c r="I11" s="10"/>
    </row>
    <row r="12" spans="1:22" ht="15" customHeight="1" x14ac:dyDescent="0.15">
      <c r="A12" s="402" t="s">
        <v>2</v>
      </c>
      <c r="B12" s="403">
        <v>3</v>
      </c>
      <c r="C12" s="163">
        <v>325699</v>
      </c>
      <c r="D12" s="164">
        <f>C12+(C12*'Løntabel gældende fra'!$D$7%)</f>
        <v>350117.30542799999</v>
      </c>
      <c r="E12" s="164">
        <f>D12/12</f>
        <v>29176.442118999999</v>
      </c>
      <c r="F12" s="163">
        <v>290311</v>
      </c>
      <c r="G12" s="165">
        <f>F12+(F12*'Løntabel gældende fra'!$D$7%)</f>
        <v>312076.19629200001</v>
      </c>
      <c r="H12" s="166">
        <f>G12/12</f>
        <v>26006.349690999999</v>
      </c>
      <c r="I12" s="10"/>
    </row>
    <row r="13" spans="1:22" ht="15" customHeight="1" thickBot="1" x14ac:dyDescent="0.2">
      <c r="A13" s="404" t="s">
        <v>3</v>
      </c>
      <c r="B13" s="405">
        <v>4</v>
      </c>
      <c r="C13" s="168">
        <v>351388</v>
      </c>
      <c r="D13" s="169">
        <f>C13+(C13*'Løntabel gældende fra'!$D$7%)</f>
        <v>377732.26113599999</v>
      </c>
      <c r="E13" s="169">
        <f>D13/12</f>
        <v>31477.688427999998</v>
      </c>
      <c r="F13" s="168">
        <v>309054</v>
      </c>
      <c r="G13" s="170">
        <f>F13+(F13*'Løntabel gældende fra'!$D$7%)</f>
        <v>332224.396488</v>
      </c>
      <c r="H13" s="171">
        <f>G13/12</f>
        <v>27685.366374000001</v>
      </c>
      <c r="I13" s="10"/>
    </row>
    <row r="14" spans="1:22" ht="21" customHeight="1" thickBot="1" x14ac:dyDescent="0.2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 x14ac:dyDescent="0.2">
      <c r="A15" s="1097" t="s">
        <v>455</v>
      </c>
      <c r="B15" s="1098"/>
      <c r="C15" s="1098"/>
      <c r="D15" s="1098"/>
      <c r="E15" s="1098"/>
      <c r="F15" s="1098"/>
      <c r="G15" s="1098"/>
      <c r="H15" s="1099"/>
      <c r="I15" s="68"/>
    </row>
    <row r="16" spans="1:22" ht="20" customHeight="1" thickBot="1" x14ac:dyDescent="0.25">
      <c r="A16" s="1178" t="s">
        <v>518</v>
      </c>
      <c r="B16" s="1179"/>
      <c r="C16" s="1179"/>
      <c r="D16" s="1179"/>
      <c r="E16" s="1179"/>
      <c r="F16" s="1179"/>
      <c r="G16" s="1179"/>
      <c r="H16" s="1180"/>
      <c r="I16" s="68"/>
    </row>
    <row r="17" spans="1:9" ht="23" customHeight="1" thickBot="1" x14ac:dyDescent="0.2">
      <c r="A17" s="1100" t="s">
        <v>11</v>
      </c>
      <c r="B17" s="1101"/>
      <c r="C17" s="1121" t="s">
        <v>4</v>
      </c>
      <c r="D17" s="1122"/>
      <c r="E17" s="1190"/>
      <c r="F17" s="1165" t="s">
        <v>5</v>
      </c>
      <c r="G17" s="1166"/>
      <c r="H17" s="1167"/>
      <c r="I17" s="69"/>
    </row>
    <row r="18" spans="1:9" x14ac:dyDescent="0.15">
      <c r="A18" s="1102"/>
      <c r="B18" s="1195"/>
      <c r="C18" s="1129" t="s">
        <v>249</v>
      </c>
      <c r="D18" s="395" t="s">
        <v>99</v>
      </c>
      <c r="E18" s="395" t="s">
        <v>389</v>
      </c>
      <c r="F18" s="1129" t="s">
        <v>249</v>
      </c>
      <c r="G18" s="395" t="s">
        <v>100</v>
      </c>
      <c r="H18" s="785" t="s">
        <v>389</v>
      </c>
      <c r="I18" s="11"/>
    </row>
    <row r="19" spans="1:9" ht="15" thickBot="1" x14ac:dyDescent="0.2">
      <c r="A19" s="1102"/>
      <c r="B19" s="1195"/>
      <c r="C19" s="1174"/>
      <c r="D19" s="398">
        <v>40999</v>
      </c>
      <c r="E19" s="399" t="str">
        <f>'Løntabel gældende fra'!$D$1</f>
        <v>01/10/2018</v>
      </c>
      <c r="F19" s="1174"/>
      <c r="G19" s="398">
        <v>40999</v>
      </c>
      <c r="H19" s="399" t="str">
        <f>'Løntabel gældende fra'!$D$1</f>
        <v>01/10/2018</v>
      </c>
      <c r="I19" s="70"/>
    </row>
    <row r="20" spans="1:9" ht="15" customHeight="1" x14ac:dyDescent="0.15">
      <c r="A20" s="1102"/>
      <c r="B20" s="1103"/>
      <c r="C20" s="172" t="s">
        <v>43</v>
      </c>
      <c r="D20" s="173">
        <v>16.38</v>
      </c>
      <c r="E20" s="164">
        <f>D20+(D20*'Løntabel gældende fra'!$D$7%)</f>
        <v>17.608041359999998</v>
      </c>
      <c r="F20" s="174" t="s">
        <v>47</v>
      </c>
      <c r="G20" s="175">
        <v>22.4054</v>
      </c>
      <c r="H20" s="164">
        <f>G20+(G20*'Løntabel gældende fra'!$D$7%)</f>
        <v>24.085177648799998</v>
      </c>
      <c r="I20" s="51"/>
    </row>
    <row r="21" spans="1:9" ht="15" customHeight="1" x14ac:dyDescent="0.15">
      <c r="A21" s="1102"/>
      <c r="B21" s="1103"/>
      <c r="C21" s="176" t="s">
        <v>44</v>
      </c>
      <c r="D21" s="165">
        <v>98.3</v>
      </c>
      <c r="E21" s="164">
        <f>D21+(D21*'Løntabel gældende fra'!$D$7%)</f>
        <v>105.66974759999999</v>
      </c>
      <c r="F21" s="177" t="s">
        <v>48</v>
      </c>
      <c r="G21" s="178">
        <v>65.525400000000005</v>
      </c>
      <c r="H21" s="164">
        <f>G21+(G21*'Løntabel gældende fra'!$D$7%)</f>
        <v>70.437970288800003</v>
      </c>
      <c r="I21" s="51"/>
    </row>
    <row r="22" spans="1:9" ht="15" customHeight="1" x14ac:dyDescent="0.15">
      <c r="A22" s="1102"/>
      <c r="B22" s="1103"/>
      <c r="C22" s="176" t="s">
        <v>45</v>
      </c>
      <c r="D22" s="179">
        <v>131.07</v>
      </c>
      <c r="E22" s="164">
        <f>D22+(D22*'Løntabel gældende fra'!$D$7%)</f>
        <v>140.89658004</v>
      </c>
      <c r="F22" s="177" t="s">
        <v>49</v>
      </c>
      <c r="G22" s="178">
        <v>131.07</v>
      </c>
      <c r="H22" s="164">
        <f>G22+(G22*'Løntabel gældende fra'!$D$7%)</f>
        <v>140.89658004</v>
      </c>
      <c r="I22" s="51"/>
    </row>
    <row r="23" spans="1:9" ht="15" customHeight="1" thickBot="1" x14ac:dyDescent="0.2">
      <c r="A23" s="1196"/>
      <c r="B23" s="1197"/>
      <c r="C23" s="180" t="s">
        <v>46</v>
      </c>
      <c r="D23" s="181">
        <v>163.83000000000001</v>
      </c>
      <c r="E23" s="169">
        <f>D23+(D23*'Løntabel gældende fra'!$D$7%)</f>
        <v>176.11266276000001</v>
      </c>
      <c r="F23" s="182" t="s">
        <v>50</v>
      </c>
      <c r="G23" s="183">
        <v>163.82830000000001</v>
      </c>
      <c r="H23" s="169">
        <f>G23+(G23*'Løntabel gældende fra'!$D$7%)</f>
        <v>176.11083530760001</v>
      </c>
      <c r="I23" s="51"/>
    </row>
    <row r="24" spans="1:9" s="135" customFormat="1" ht="21" customHeight="1" thickBot="1" x14ac:dyDescent="0.2">
      <c r="A24" s="131"/>
      <c r="B24" s="131"/>
      <c r="C24" s="132"/>
      <c r="D24" s="133"/>
      <c r="E24" s="133"/>
      <c r="F24" s="132"/>
      <c r="G24" s="133"/>
      <c r="H24" s="133"/>
      <c r="I24" s="134"/>
    </row>
    <row r="25" spans="1:9" ht="20" customHeight="1" x14ac:dyDescent="0.15">
      <c r="A25" s="1162" t="s">
        <v>259</v>
      </c>
      <c r="B25" s="1163"/>
      <c r="C25" s="1163"/>
      <c r="D25" s="1163"/>
      <c r="E25" s="1163"/>
      <c r="F25" s="1163"/>
      <c r="G25" s="1163"/>
      <c r="H25" s="1163"/>
      <c r="I25" s="1164"/>
    </row>
    <row r="26" spans="1:9" ht="20" customHeight="1" thickBot="1" x14ac:dyDescent="0.2">
      <c r="A26" s="1136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01/10/2018</v>
      </c>
      <c r="B26" s="1137"/>
      <c r="C26" s="1137"/>
      <c r="D26" s="1137"/>
      <c r="E26" s="1137"/>
      <c r="F26" s="1137"/>
      <c r="G26" s="1137"/>
      <c r="H26" s="1137"/>
      <c r="I26" s="1138"/>
    </row>
    <row r="27" spans="1:9" ht="24" customHeight="1" x14ac:dyDescent="0.15">
      <c r="A27" s="1193"/>
      <c r="B27" s="1194"/>
      <c r="C27" s="1142" t="s">
        <v>4</v>
      </c>
      <c r="D27" s="1142"/>
      <c r="E27" s="1143"/>
      <c r="F27" s="1191" t="s">
        <v>5</v>
      </c>
      <c r="G27" s="1142"/>
      <c r="H27" s="1142"/>
      <c r="I27" s="1143"/>
    </row>
    <row r="28" spans="1:9" ht="20" customHeight="1" x14ac:dyDescent="0.15">
      <c r="A28" s="1203" t="s">
        <v>12</v>
      </c>
      <c r="B28" s="1204"/>
      <c r="C28" s="1205"/>
      <c r="D28" s="1206"/>
      <c r="E28" s="1207"/>
      <c r="F28" s="1205"/>
      <c r="G28" s="1206"/>
      <c r="H28" s="1206"/>
      <c r="I28" s="1207"/>
    </row>
    <row r="29" spans="1:9" ht="32.25" customHeight="1" thickBot="1" x14ac:dyDescent="0.2">
      <c r="A29" s="1201" t="str">
        <f>"Mdr. undervisningstillæg pr. "&amp;'Løntabel gældende fra'!D1&amp;""</f>
        <v>Mdr. undervisningstillæg pr. 01/10/2018</v>
      </c>
      <c r="B29" s="1202"/>
      <c r="C29" s="1184">
        <f>IF(C28&lt;650,C28*E20,IF(AND(C28&gt;=650,C28&lt;700),650*E20+(C28-650)*E21,IF(AND(C28&gt;=700,C28&lt;750),650*E20+50*E21+(C28-700)*E22,IF(C28&gt;=750,650*E20+50*E21+50*E22+(C28-750)*E23,))))/12</f>
        <v>0</v>
      </c>
      <c r="D29" s="1185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186">
        <f t="shared" si="0"/>
        <v>0</v>
      </c>
      <c r="F29" s="1184">
        <f>IF(F28&lt;750,F28*H20,IF(AND(F28&gt;=750,F28&lt;800),750*H20+(F28-750)*H21,IF(AND(F28&gt;=800,F28&lt;835),750*H20+50*H21+(F28-800)*H22,IF(F28&gt;=835,750*H20+50*H21+35*H22+(F28-835)*H23,))))/12</f>
        <v>0</v>
      </c>
      <c r="G29" s="1185">
        <f t="shared" si="0"/>
        <v>0</v>
      </c>
      <c r="H29" s="1185">
        <f t="shared" si="0"/>
        <v>0</v>
      </c>
      <c r="I29" s="1186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 x14ac:dyDescent="0.2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 x14ac:dyDescent="0.2">
      <c r="A31" s="1175" t="s">
        <v>342</v>
      </c>
      <c r="B31" s="1176"/>
      <c r="C31" s="1176"/>
      <c r="D31" s="1176"/>
      <c r="E31" s="1176"/>
      <c r="F31" s="1176"/>
      <c r="G31" s="1176"/>
      <c r="H31" s="1176"/>
      <c r="I31" s="1177"/>
    </row>
    <row r="32" spans="1:9" ht="20" customHeight="1" x14ac:dyDescent="0.2">
      <c r="A32" s="1181" t="s">
        <v>260</v>
      </c>
      <c r="B32" s="1182"/>
      <c r="C32" s="1182"/>
      <c r="D32" s="1182"/>
      <c r="E32" s="1182"/>
      <c r="F32" s="1182"/>
      <c r="G32" s="1182"/>
      <c r="H32" s="1182"/>
      <c r="I32" s="1183"/>
    </row>
    <row r="33" spans="1:9" ht="20" customHeight="1" thickBot="1" x14ac:dyDescent="0.25">
      <c r="A33" s="1139" t="s">
        <v>357</v>
      </c>
      <c r="B33" s="1140"/>
      <c r="C33" s="1140"/>
      <c r="D33" s="1140"/>
      <c r="E33" s="1140"/>
      <c r="F33" s="1140"/>
      <c r="G33" s="1140"/>
      <c r="H33" s="1140"/>
      <c r="I33" s="1141"/>
    </row>
    <row r="34" spans="1:9" ht="24" customHeight="1" thickBot="1" x14ac:dyDescent="0.2">
      <c r="A34" s="1125" t="s">
        <v>103</v>
      </c>
      <c r="B34" s="1126" t="s">
        <v>4</v>
      </c>
      <c r="C34" s="1126"/>
      <c r="D34" s="1126"/>
      <c r="E34" s="1154"/>
      <c r="F34" s="1127" t="s">
        <v>5</v>
      </c>
      <c r="G34" s="1126"/>
      <c r="H34" s="1126"/>
      <c r="I34" s="1154"/>
    </row>
    <row r="35" spans="1:9" ht="24" customHeight="1" thickBot="1" x14ac:dyDescent="0.2">
      <c r="A35" s="1174"/>
      <c r="B35" s="508" t="s">
        <v>7</v>
      </c>
      <c r="C35" s="509" t="s">
        <v>8</v>
      </c>
      <c r="D35" s="508" t="s">
        <v>10</v>
      </c>
      <c r="E35" s="510" t="s">
        <v>9</v>
      </c>
      <c r="F35" s="511" t="s">
        <v>7</v>
      </c>
      <c r="G35" s="512" t="s">
        <v>8</v>
      </c>
      <c r="H35" s="437" t="s">
        <v>10</v>
      </c>
      <c r="I35" s="513" t="s">
        <v>9</v>
      </c>
    </row>
    <row r="36" spans="1:9" ht="15" customHeight="1" x14ac:dyDescent="0.15">
      <c r="A36" s="406">
        <v>1</v>
      </c>
      <c r="B36" s="500">
        <v>325</v>
      </c>
      <c r="C36" s="503">
        <v>575</v>
      </c>
      <c r="D36" s="500">
        <v>900</v>
      </c>
      <c r="E36" s="185">
        <v>1150</v>
      </c>
      <c r="F36" s="505">
        <v>375</v>
      </c>
      <c r="G36" s="189">
        <v>625</v>
      </c>
      <c r="H36" s="421">
        <v>1000</v>
      </c>
      <c r="I36" s="189">
        <v>1250</v>
      </c>
    </row>
    <row r="37" spans="1:9" ht="15" customHeight="1" x14ac:dyDescent="0.15">
      <c r="A37" s="407">
        <v>2</v>
      </c>
      <c r="B37" s="501">
        <v>275</v>
      </c>
      <c r="C37" s="503">
        <v>475</v>
      </c>
      <c r="D37" s="501">
        <v>750</v>
      </c>
      <c r="E37" s="185">
        <v>950</v>
      </c>
      <c r="F37" s="418">
        <v>325</v>
      </c>
      <c r="G37" s="211">
        <v>575</v>
      </c>
      <c r="H37" s="424">
        <v>900</v>
      </c>
      <c r="I37" s="211">
        <v>1150</v>
      </c>
    </row>
    <row r="38" spans="1:9" ht="15" customHeight="1" x14ac:dyDescent="0.15">
      <c r="A38" s="407">
        <v>3</v>
      </c>
      <c r="B38" s="501">
        <v>175</v>
      </c>
      <c r="C38" s="503">
        <v>325</v>
      </c>
      <c r="D38" s="501">
        <v>500</v>
      </c>
      <c r="E38" s="185">
        <v>625</v>
      </c>
      <c r="F38" s="418">
        <v>300</v>
      </c>
      <c r="G38" s="211">
        <v>525</v>
      </c>
      <c r="H38" s="424">
        <v>825</v>
      </c>
      <c r="I38" s="211">
        <v>1050</v>
      </c>
    </row>
    <row r="39" spans="1:9" ht="15" customHeight="1" thickBot="1" x14ac:dyDescent="0.2">
      <c r="A39" s="408">
        <v>4</v>
      </c>
      <c r="B39" s="502">
        <v>175</v>
      </c>
      <c r="C39" s="504">
        <v>325</v>
      </c>
      <c r="D39" s="502">
        <v>500</v>
      </c>
      <c r="E39" s="186">
        <v>625</v>
      </c>
      <c r="F39" s="426">
        <v>300</v>
      </c>
      <c r="G39" s="190">
        <v>525</v>
      </c>
      <c r="H39" s="422">
        <v>825</v>
      </c>
      <c r="I39" s="190">
        <v>1050</v>
      </c>
    </row>
    <row r="40" spans="1:9" ht="24" customHeight="1" thickBot="1" x14ac:dyDescent="0.2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 x14ac:dyDescent="0.2">
      <c r="A41" s="1162" t="s">
        <v>343</v>
      </c>
      <c r="B41" s="1163"/>
      <c r="C41" s="1163"/>
      <c r="D41" s="1163"/>
      <c r="E41" s="1163"/>
      <c r="F41" s="1163"/>
      <c r="G41" s="1164"/>
      <c r="H41" s="64"/>
      <c r="I41" s="7"/>
    </row>
    <row r="42" spans="1:9" ht="20" customHeight="1" thickBot="1" x14ac:dyDescent="0.25">
      <c r="A42" s="1208" t="s">
        <v>358</v>
      </c>
      <c r="B42" s="1209"/>
      <c r="C42" s="1209"/>
      <c r="D42" s="1209"/>
      <c r="E42" s="1209"/>
      <c r="F42" s="1209"/>
      <c r="G42" s="1210"/>
      <c r="H42" s="64"/>
      <c r="I42" s="7"/>
    </row>
    <row r="43" spans="1:9" ht="13" customHeight="1" x14ac:dyDescent="0.15">
      <c r="A43" s="1129" t="s">
        <v>0</v>
      </c>
      <c r="B43" s="1121" t="s">
        <v>137</v>
      </c>
      <c r="C43" s="1190"/>
      <c r="D43" s="1121" t="s">
        <v>390</v>
      </c>
      <c r="E43" s="1122"/>
      <c r="F43" s="1121" t="s">
        <v>301</v>
      </c>
      <c r="G43" s="1190"/>
      <c r="H43" s="46"/>
      <c r="I43" s="7"/>
    </row>
    <row r="44" spans="1:9" ht="14" customHeight="1" thickBot="1" x14ac:dyDescent="0.2">
      <c r="A44" s="1174"/>
      <c r="B44" s="1192">
        <f>$D$19</f>
        <v>40999</v>
      </c>
      <c r="C44" s="1120"/>
      <c r="D44" s="1192" t="str">
        <f>'Løntabel gældende fra'!$D$1</f>
        <v>01/10/2018</v>
      </c>
      <c r="E44" s="1119"/>
      <c r="F44" s="1192" t="str">
        <f>'Løntabel gældende fra'!$D$1</f>
        <v>01/10/2018</v>
      </c>
      <c r="G44" s="1120"/>
      <c r="H44" s="46"/>
      <c r="I44" s="7"/>
    </row>
    <row r="45" spans="1:9" ht="15" customHeight="1" x14ac:dyDescent="0.15">
      <c r="A45" s="406">
        <v>1</v>
      </c>
      <c r="B45" s="1074">
        <v>5200</v>
      </c>
      <c r="C45" s="1074"/>
      <c r="D45" s="1091">
        <f>B45+(B45*'Løntabel gældende fra'!$D$7%)</f>
        <v>5589.8544000000002</v>
      </c>
      <c r="E45" s="1089"/>
      <c r="F45" s="1106">
        <f>D45/12</f>
        <v>465.82120000000003</v>
      </c>
      <c r="G45" s="1107"/>
      <c r="H45" s="10"/>
      <c r="I45" s="7"/>
    </row>
    <row r="46" spans="1:9" ht="15" customHeight="1" x14ac:dyDescent="0.15">
      <c r="A46" s="407">
        <v>2</v>
      </c>
      <c r="B46" s="1090">
        <v>7900</v>
      </c>
      <c r="C46" s="1090"/>
      <c r="D46" s="1250">
        <f>B46+(B46*'Løntabel gældende fra'!$D$7%)</f>
        <v>8492.2788</v>
      </c>
      <c r="E46" s="1075"/>
      <c r="F46" s="1072">
        <f>D46/12</f>
        <v>707.68989999999997</v>
      </c>
      <c r="G46" s="1073"/>
      <c r="H46" s="10"/>
      <c r="I46" s="7"/>
    </row>
    <row r="47" spans="1:9" ht="15" customHeight="1" thickBot="1" x14ac:dyDescent="0.2">
      <c r="A47" s="408">
        <v>3</v>
      </c>
      <c r="B47" s="1076">
        <v>7900</v>
      </c>
      <c r="C47" s="1076"/>
      <c r="D47" s="1094">
        <f>B47+(B47*'Løntabel gældende fra'!$D$7%)</f>
        <v>8492.2788</v>
      </c>
      <c r="E47" s="1079"/>
      <c r="F47" s="1077">
        <f>D47/12</f>
        <v>707.68989999999997</v>
      </c>
      <c r="G47" s="1078"/>
      <c r="H47" s="10"/>
      <c r="I47" s="7"/>
    </row>
    <row r="48" spans="1:9" s="63" customFormat="1" ht="24" customHeight="1" thickBot="1" x14ac:dyDescent="0.2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 x14ac:dyDescent="0.15">
      <c r="A49" s="1162" t="s">
        <v>499</v>
      </c>
      <c r="B49" s="1254"/>
      <c r="C49" s="1254"/>
      <c r="D49" s="1254"/>
      <c r="E49" s="1254"/>
      <c r="F49" s="1254"/>
      <c r="G49" s="1255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 x14ac:dyDescent="0.2">
      <c r="A50" s="1208" t="s">
        <v>359</v>
      </c>
      <c r="B50" s="1209"/>
      <c r="C50" s="1209"/>
      <c r="D50" s="1209"/>
      <c r="E50" s="1209"/>
      <c r="F50" s="1209"/>
      <c r="G50" s="1210"/>
      <c r="H50" s="65"/>
      <c r="K50" s="16"/>
      <c r="L50" s="16"/>
      <c r="M50" s="16"/>
      <c r="N50" s="16"/>
      <c r="O50" s="16"/>
      <c r="P50" s="16"/>
      <c r="Q50" s="16"/>
    </row>
    <row r="51" spans="1:17" ht="16" customHeight="1" x14ac:dyDescent="0.15">
      <c r="A51" s="1129" t="s">
        <v>0</v>
      </c>
      <c r="B51" s="1080" t="s">
        <v>137</v>
      </c>
      <c r="C51" s="1081"/>
      <c r="D51" s="1080" t="s">
        <v>390</v>
      </c>
      <c r="E51" s="1081"/>
      <c r="F51" s="1080" t="s">
        <v>301</v>
      </c>
      <c r="G51" s="1081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 x14ac:dyDescent="0.2">
      <c r="A52" s="1125"/>
      <c r="B52" s="1082">
        <f>C9</f>
        <v>40999</v>
      </c>
      <c r="C52" s="1083"/>
      <c r="D52" s="1084" t="str">
        <f>'Løntabel gældende fra'!D1</f>
        <v>01/10/2018</v>
      </c>
      <c r="E52" s="1083"/>
      <c r="F52" s="1084" t="str">
        <f>'Løntabel gældende fra'!D1</f>
        <v>01/10/2018</v>
      </c>
      <c r="G52" s="1083"/>
      <c r="H52" s="46"/>
      <c r="K52" s="16"/>
      <c r="L52" s="16"/>
      <c r="M52" s="16"/>
      <c r="N52" s="16"/>
      <c r="O52" s="16"/>
      <c r="P52" s="16"/>
      <c r="Q52" s="16"/>
    </row>
    <row r="53" spans="1:17" ht="15" customHeight="1" x14ac:dyDescent="0.15">
      <c r="A53" s="406">
        <v>1</v>
      </c>
      <c r="B53" s="1086">
        <v>2800</v>
      </c>
      <c r="C53" s="1086"/>
      <c r="D53" s="1087">
        <f>B53+(B53*'Løntabel gældende fra'!$D$7%)</f>
        <v>3009.9216000000001</v>
      </c>
      <c r="E53" s="1088"/>
      <c r="F53" s="1086">
        <f>D53/12</f>
        <v>250.82680000000002</v>
      </c>
      <c r="G53" s="1089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15">
      <c r="A54" s="407">
        <v>2</v>
      </c>
      <c r="B54" s="1090">
        <v>2800</v>
      </c>
      <c r="C54" s="1090"/>
      <c r="D54" s="1072">
        <f>B54+(B54*'Løntabel gældende fra'!$D$7%)</f>
        <v>3009.9216000000001</v>
      </c>
      <c r="E54" s="1073"/>
      <c r="F54" s="1074">
        <f>D54/12</f>
        <v>250.82680000000002</v>
      </c>
      <c r="G54" s="1075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15">
      <c r="A55" s="409">
        <v>3</v>
      </c>
      <c r="B55" s="1090">
        <v>2800</v>
      </c>
      <c r="C55" s="1090"/>
      <c r="D55" s="1072">
        <f>B55+(B55*'Løntabel gældende fra'!$D$7%)</f>
        <v>3009.9216000000001</v>
      </c>
      <c r="E55" s="1073"/>
      <c r="F55" s="1074">
        <f>D55/12</f>
        <v>250.82680000000002</v>
      </c>
      <c r="G55" s="1075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2">
      <c r="A56" s="408">
        <v>4</v>
      </c>
      <c r="B56" s="1076">
        <v>2800</v>
      </c>
      <c r="C56" s="1076"/>
      <c r="D56" s="1077">
        <f>B56+(B56*'Løntabel gældende fra'!$D$7%)</f>
        <v>3009.9216000000001</v>
      </c>
      <c r="E56" s="1078"/>
      <c r="F56" s="1076">
        <f>D56/12</f>
        <v>250.82680000000002</v>
      </c>
      <c r="G56" s="1079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 x14ac:dyDescent="0.2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 x14ac:dyDescent="0.15">
      <c r="A58" s="1162" t="s">
        <v>500</v>
      </c>
      <c r="B58" s="1254"/>
      <c r="C58" s="1254"/>
      <c r="D58" s="1254"/>
      <c r="E58" s="1254"/>
      <c r="F58" s="1254"/>
      <c r="G58" s="1255"/>
      <c r="H58" s="65"/>
      <c r="K58" s="16"/>
      <c r="L58" s="16"/>
      <c r="M58" s="16"/>
      <c r="N58" s="16"/>
      <c r="O58" s="16"/>
      <c r="P58" s="16"/>
      <c r="Q58" s="16"/>
    </row>
    <row r="59" spans="1:17" ht="20" customHeight="1" thickBot="1" x14ac:dyDescent="0.2">
      <c r="A59" s="1208" t="s">
        <v>359</v>
      </c>
      <c r="B59" s="1209"/>
      <c r="C59" s="1209"/>
      <c r="D59" s="1209"/>
      <c r="E59" s="1209"/>
      <c r="F59" s="1209"/>
      <c r="G59" s="1210"/>
      <c r="H59" s="65"/>
      <c r="K59" s="16"/>
      <c r="L59" s="16"/>
      <c r="M59" s="16"/>
      <c r="N59" s="16"/>
      <c r="O59" s="16"/>
      <c r="P59" s="16"/>
      <c r="Q59" s="16"/>
    </row>
    <row r="60" spans="1:17" ht="16" customHeight="1" x14ac:dyDescent="0.15">
      <c r="A60" s="1129" t="s">
        <v>0</v>
      </c>
      <c r="B60" s="1080" t="s">
        <v>137</v>
      </c>
      <c r="C60" s="1081"/>
      <c r="D60" s="1080" t="s">
        <v>390</v>
      </c>
      <c r="E60" s="1081"/>
      <c r="F60" s="1080" t="s">
        <v>301</v>
      </c>
      <c r="G60" s="1081"/>
      <c r="H60" s="963"/>
      <c r="K60" s="16"/>
      <c r="L60" s="16"/>
      <c r="M60" s="16"/>
      <c r="N60" s="16"/>
      <c r="O60" s="16"/>
      <c r="P60" s="16"/>
      <c r="Q60" s="16"/>
    </row>
    <row r="61" spans="1:17" ht="16" customHeight="1" thickBot="1" x14ac:dyDescent="0.2">
      <c r="A61" s="1125"/>
      <c r="B61" s="1082">
        <f>B52</f>
        <v>40999</v>
      </c>
      <c r="C61" s="1083"/>
      <c r="D61" s="1084" t="str">
        <f>'Løntabel gældende fra'!D1</f>
        <v>01/10/2018</v>
      </c>
      <c r="E61" s="1085"/>
      <c r="F61" s="1084" t="str">
        <f>'Løntabel gældende fra'!D1</f>
        <v>01/10/2018</v>
      </c>
      <c r="G61" s="1085"/>
      <c r="H61" s="963"/>
      <c r="K61" s="16"/>
      <c r="L61" s="16"/>
      <c r="M61" s="16"/>
      <c r="N61" s="16"/>
      <c r="O61" s="16"/>
      <c r="P61" s="16"/>
      <c r="Q61" s="16"/>
    </row>
    <row r="62" spans="1:17" ht="15" customHeight="1" x14ac:dyDescent="0.15">
      <c r="A62" s="406">
        <v>1</v>
      </c>
      <c r="B62" s="1086">
        <v>900</v>
      </c>
      <c r="C62" s="1086"/>
      <c r="D62" s="1087">
        <f>B62+(B62*'Løntabel gældende fra'!$D$7%)</f>
        <v>967.47479999999996</v>
      </c>
      <c r="E62" s="1088"/>
      <c r="F62" s="1086">
        <f>D62/12</f>
        <v>80.622900000000001</v>
      </c>
      <c r="G62" s="1089"/>
      <c r="H62" s="10"/>
      <c r="K62" s="16"/>
      <c r="L62" s="16"/>
      <c r="M62" s="16"/>
      <c r="N62" s="16"/>
      <c r="O62" s="16"/>
      <c r="P62" s="16"/>
      <c r="Q62" s="16"/>
    </row>
    <row r="63" spans="1:17" ht="15" customHeight="1" x14ac:dyDescent="0.15">
      <c r="A63" s="407">
        <v>2</v>
      </c>
      <c r="B63" s="1090">
        <v>900</v>
      </c>
      <c r="C63" s="1090"/>
      <c r="D63" s="1072">
        <f>B63+(B63*'Løntabel gældende fra'!$D$7%)</f>
        <v>967.47479999999996</v>
      </c>
      <c r="E63" s="1073"/>
      <c r="F63" s="1074">
        <f>D63/12</f>
        <v>80.622900000000001</v>
      </c>
      <c r="G63" s="1075"/>
      <c r="H63" s="10"/>
      <c r="K63" s="16"/>
      <c r="L63" s="16"/>
      <c r="M63" s="16"/>
      <c r="N63" s="16"/>
      <c r="O63" s="16"/>
      <c r="P63" s="16"/>
      <c r="Q63" s="16"/>
    </row>
    <row r="64" spans="1:17" ht="15" customHeight="1" x14ac:dyDescent="0.15">
      <c r="A64" s="409">
        <v>3</v>
      </c>
      <c r="B64" s="1090">
        <v>900</v>
      </c>
      <c r="C64" s="1090"/>
      <c r="D64" s="1072">
        <f>B64+(B64*'Løntabel gældende fra'!$D$7%)</f>
        <v>967.47479999999996</v>
      </c>
      <c r="E64" s="1073"/>
      <c r="F64" s="1074">
        <f>D64/12</f>
        <v>80.622900000000001</v>
      </c>
      <c r="G64" s="1075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 x14ac:dyDescent="0.2">
      <c r="A65" s="408">
        <v>4</v>
      </c>
      <c r="B65" s="1076">
        <v>900</v>
      </c>
      <c r="C65" s="1076"/>
      <c r="D65" s="1077">
        <f>B65+(B65*'Løntabel gældende fra'!$D$7%)</f>
        <v>967.47479999999996</v>
      </c>
      <c r="E65" s="1078"/>
      <c r="F65" s="1076">
        <f>D65/12</f>
        <v>80.622900000000001</v>
      </c>
      <c r="G65" s="1079"/>
      <c r="H65" s="10"/>
      <c r="K65" s="16"/>
      <c r="L65" s="16"/>
      <c r="M65" s="16"/>
      <c r="N65" s="16"/>
      <c r="O65" s="16"/>
      <c r="P65" s="16"/>
      <c r="Q65" s="16"/>
    </row>
    <row r="66" spans="1:17" ht="25" customHeight="1" thickBot="1" x14ac:dyDescent="0.2">
      <c r="A66" s="963"/>
      <c r="B66" s="48"/>
      <c r="C66" s="48"/>
      <c r="D66" s="48"/>
      <c r="E66" s="48"/>
      <c r="F66" s="49"/>
      <c r="G66" s="49"/>
      <c r="H66" s="49"/>
      <c r="K66" s="16"/>
      <c r="L66" s="16"/>
      <c r="M66" s="16"/>
      <c r="N66" s="16"/>
      <c r="O66" s="16"/>
      <c r="P66" s="16"/>
      <c r="Q66" s="16"/>
    </row>
    <row r="67" spans="1:17" ht="20" customHeight="1" x14ac:dyDescent="0.15">
      <c r="A67" s="1097" t="s">
        <v>344</v>
      </c>
      <c r="B67" s="1098"/>
      <c r="C67" s="1098"/>
      <c r="D67" s="1098"/>
      <c r="E67" s="1098"/>
      <c r="F67" s="1098"/>
      <c r="G67" s="1098"/>
      <c r="H67" s="1098"/>
      <c r="I67" s="1099"/>
    </row>
    <row r="68" spans="1:17" ht="20" customHeight="1" thickBot="1" x14ac:dyDescent="0.2">
      <c r="A68" s="1178" t="s">
        <v>360</v>
      </c>
      <c r="B68" s="1179"/>
      <c r="C68" s="1179"/>
      <c r="D68" s="1179"/>
      <c r="E68" s="1179"/>
      <c r="F68" s="1179"/>
      <c r="G68" s="1179"/>
      <c r="H68" s="1179"/>
      <c r="I68" s="1180"/>
    </row>
    <row r="69" spans="1:17" ht="28" customHeight="1" x14ac:dyDescent="0.15">
      <c r="A69" s="1221" t="s">
        <v>321</v>
      </c>
      <c r="B69" s="1222"/>
      <c r="C69" s="1222"/>
      <c r="D69" s="1222"/>
      <c r="E69" s="1222"/>
      <c r="F69" s="1223"/>
      <c r="G69" s="389" t="s">
        <v>137</v>
      </c>
      <c r="H69" s="389" t="s">
        <v>102</v>
      </c>
      <c r="I69" s="786" t="s">
        <v>301</v>
      </c>
    </row>
    <row r="70" spans="1:17" ht="15" customHeight="1" thickBot="1" x14ac:dyDescent="0.2">
      <c r="A70" s="1221"/>
      <c r="B70" s="1222"/>
      <c r="C70" s="1222"/>
      <c r="D70" s="1222"/>
      <c r="E70" s="1222"/>
      <c r="F70" s="1223"/>
      <c r="G70" s="390">
        <f>C9</f>
        <v>40999</v>
      </c>
      <c r="H70" s="390">
        <f>C9</f>
        <v>40999</v>
      </c>
      <c r="I70" s="390" t="str">
        <f>'Løntabel gældende fra'!$D$1</f>
        <v>01/10/2018</v>
      </c>
    </row>
    <row r="71" spans="1:17" ht="15" customHeight="1" thickBot="1" x14ac:dyDescent="0.2">
      <c r="A71" s="1224"/>
      <c r="B71" s="1225"/>
      <c r="C71" s="1225"/>
      <c r="D71" s="1225"/>
      <c r="E71" s="1225"/>
      <c r="F71" s="1226"/>
      <c r="G71" s="187">
        <v>19300</v>
      </c>
      <c r="H71" s="187">
        <f>G71/12</f>
        <v>1608.3333333333333</v>
      </c>
      <c r="I71" s="188">
        <f>H71+(H71*'Løntabel gældende fra'!$D$7%)</f>
        <v>1728.9132999999999</v>
      </c>
    </row>
    <row r="72" spans="1:17" ht="24" customHeight="1" thickBot="1" x14ac:dyDescent="0.2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" customHeight="1" x14ac:dyDescent="0.15">
      <c r="A73" s="1097" t="s">
        <v>346</v>
      </c>
      <c r="B73" s="1098"/>
      <c r="C73" s="1098"/>
      <c r="D73" s="1098"/>
      <c r="E73" s="1098"/>
      <c r="F73" s="1098"/>
      <c r="G73" s="1098"/>
      <c r="H73" s="1098"/>
      <c r="I73" s="1099"/>
    </row>
    <row r="74" spans="1:17" ht="20" customHeight="1" thickBot="1" x14ac:dyDescent="0.2">
      <c r="A74" s="1178" t="s">
        <v>345</v>
      </c>
      <c r="B74" s="1179"/>
      <c r="C74" s="1179"/>
      <c r="D74" s="1179"/>
      <c r="E74" s="1179"/>
      <c r="F74" s="1179"/>
      <c r="G74" s="1179"/>
      <c r="H74" s="1179"/>
      <c r="I74" s="1180"/>
    </row>
    <row r="75" spans="1:17" ht="28" customHeight="1" x14ac:dyDescent="0.15">
      <c r="A75" s="1244" t="s">
        <v>347</v>
      </c>
      <c r="B75" s="1245"/>
      <c r="C75" s="1245"/>
      <c r="D75" s="1245"/>
      <c r="E75" s="1245"/>
      <c r="F75" s="1245"/>
      <c r="G75" s="1246"/>
      <c r="H75" s="482" t="s">
        <v>391</v>
      </c>
      <c r="I75" s="785" t="s">
        <v>392</v>
      </c>
    </row>
    <row r="76" spans="1:17" ht="15" customHeight="1" thickBot="1" x14ac:dyDescent="0.2">
      <c r="A76" s="1247"/>
      <c r="B76" s="1248"/>
      <c r="C76" s="1248"/>
      <c r="D76" s="1248"/>
      <c r="E76" s="1248"/>
      <c r="F76" s="1248"/>
      <c r="G76" s="1249"/>
      <c r="H76" s="390">
        <f>C9</f>
        <v>40999</v>
      </c>
      <c r="I76" s="390" t="str">
        <f>'Løntabel gældende fra'!$D$1</f>
        <v>01/10/2018</v>
      </c>
    </row>
    <row r="77" spans="1:17" ht="15" customHeight="1" thickBot="1" x14ac:dyDescent="0.2">
      <c r="A77" s="1156" t="s">
        <v>14</v>
      </c>
      <c r="B77" s="1157"/>
      <c r="C77" s="1157"/>
      <c r="D77" s="1157"/>
      <c r="E77" s="1157"/>
      <c r="F77" s="1157"/>
      <c r="G77" s="1157"/>
      <c r="H77" s="191">
        <v>19</v>
      </c>
      <c r="I77" s="192">
        <f>H77+H77*'Løntabel gældende fra'!$D$7%</f>
        <v>20.424468000000001</v>
      </c>
    </row>
    <row r="78" spans="1:17" ht="24" customHeight="1" thickBot="1" x14ac:dyDescent="0.2">
      <c r="A78" s="7"/>
      <c r="B78" s="7"/>
      <c r="C78" s="7"/>
      <c r="D78" s="7"/>
      <c r="E78" s="7"/>
      <c r="F78" s="7"/>
      <c r="G78" s="7"/>
      <c r="H78" s="7"/>
      <c r="I78" s="7"/>
    </row>
    <row r="79" spans="1:17" ht="20" customHeight="1" x14ac:dyDescent="0.15">
      <c r="A79" s="1097" t="s">
        <v>348</v>
      </c>
      <c r="B79" s="1098"/>
      <c r="C79" s="1098"/>
      <c r="D79" s="1098"/>
      <c r="E79" s="1098"/>
      <c r="F79" s="1098"/>
      <c r="G79" s="1098"/>
      <c r="H79" s="1098"/>
      <c r="I79" s="1099"/>
    </row>
    <row r="80" spans="1:17" ht="20" customHeight="1" thickBot="1" x14ac:dyDescent="0.2">
      <c r="A80" s="1178" t="s">
        <v>345</v>
      </c>
      <c r="B80" s="1179"/>
      <c r="C80" s="1179"/>
      <c r="D80" s="1179"/>
      <c r="E80" s="1179"/>
      <c r="F80" s="1179"/>
      <c r="G80" s="1179"/>
      <c r="H80" s="1179"/>
      <c r="I80" s="1180"/>
    </row>
    <row r="81" spans="1:22" ht="13" customHeight="1" x14ac:dyDescent="0.15">
      <c r="A81" s="1144" t="s">
        <v>519</v>
      </c>
      <c r="B81" s="1145"/>
      <c r="C81" s="1145"/>
      <c r="D81" s="1145"/>
      <c r="E81" s="1145"/>
      <c r="F81" s="1145"/>
      <c r="G81" s="1146"/>
      <c r="H81" s="391" t="s">
        <v>99</v>
      </c>
      <c r="I81" s="392" t="s">
        <v>104</v>
      </c>
    </row>
    <row r="82" spans="1:22" ht="15" customHeight="1" thickBot="1" x14ac:dyDescent="0.2">
      <c r="A82" s="1147"/>
      <c r="B82" s="1148"/>
      <c r="C82" s="1148"/>
      <c r="D82" s="1148"/>
      <c r="E82" s="1148"/>
      <c r="F82" s="1148"/>
      <c r="G82" s="1149"/>
      <c r="H82" s="393">
        <f>C9</f>
        <v>40999</v>
      </c>
      <c r="I82" s="390" t="str">
        <f>'Løntabel gældende fra'!$D$1</f>
        <v>01/10/2018</v>
      </c>
    </row>
    <row r="83" spans="1:22" ht="15" customHeight="1" x14ac:dyDescent="0.15">
      <c r="A83" s="1150" t="s">
        <v>18</v>
      </c>
      <c r="B83" s="1151"/>
      <c r="C83" s="1151"/>
      <c r="D83" s="1151"/>
      <c r="E83" s="1151"/>
      <c r="F83" s="1151"/>
      <c r="G83" s="1151"/>
      <c r="H83" s="229">
        <v>6.59</v>
      </c>
      <c r="I83" s="230">
        <f>H83+H83*'Løntabel gældende fra'!$D$7%</f>
        <v>7.0840654799999996</v>
      </c>
    </row>
    <row r="84" spans="1:22" ht="15" customHeight="1" thickBot="1" x14ac:dyDescent="0.2">
      <c r="A84" s="1152" t="s">
        <v>17</v>
      </c>
      <c r="B84" s="1153"/>
      <c r="C84" s="1153"/>
      <c r="D84" s="1153"/>
      <c r="E84" s="1153"/>
      <c r="F84" s="1153"/>
      <c r="G84" s="1153"/>
      <c r="H84" s="209">
        <v>61.22</v>
      </c>
      <c r="I84" s="231">
        <f>H84+H84*'Løntabel gældende fra'!$D$7%</f>
        <v>65.809785840000004</v>
      </c>
    </row>
    <row r="85" spans="1:22" ht="37" customHeight="1" thickBot="1" x14ac:dyDescent="0.2">
      <c r="A85" s="1265" t="s">
        <v>401</v>
      </c>
      <c r="B85" s="1266"/>
      <c r="C85" s="1266"/>
      <c r="D85" s="1266"/>
      <c r="E85" s="1266"/>
      <c r="F85" s="1266"/>
      <c r="G85" s="1266"/>
      <c r="H85" s="1266"/>
      <c r="I85" s="1267"/>
      <c r="K85" s="16"/>
      <c r="L85" s="16"/>
      <c r="M85" s="16"/>
      <c r="N85" s="16"/>
      <c r="O85" s="16"/>
      <c r="P85" s="16"/>
      <c r="Q85" s="16"/>
    </row>
    <row r="86" spans="1:22" ht="27.75" customHeight="1" thickBot="1" x14ac:dyDescent="0.2">
      <c r="A86" s="1265" t="s">
        <v>402</v>
      </c>
      <c r="B86" s="1266"/>
      <c r="C86" s="1266"/>
      <c r="D86" s="1266"/>
      <c r="E86" s="1266"/>
      <c r="F86" s="1266"/>
      <c r="G86" s="1266"/>
      <c r="H86" s="1266"/>
      <c r="I86" s="1267"/>
      <c r="K86" s="16"/>
      <c r="L86" s="16"/>
      <c r="M86" s="16"/>
      <c r="N86" s="16"/>
      <c r="O86" s="16"/>
      <c r="P86" s="16"/>
      <c r="Q86" s="16"/>
    </row>
    <row r="87" spans="1:22" ht="16.5" customHeight="1" thickBot="1" x14ac:dyDescent="0.2">
      <c r="A87" s="75"/>
      <c r="B87" s="75"/>
      <c r="C87" s="75"/>
      <c r="D87" s="75"/>
      <c r="E87" s="75"/>
      <c r="F87" s="75"/>
      <c r="G87" s="75"/>
      <c r="H87" s="75"/>
      <c r="I87" s="75"/>
      <c r="K87" s="16"/>
      <c r="L87" s="16"/>
      <c r="M87" s="16"/>
      <c r="N87" s="16"/>
      <c r="O87" s="16"/>
      <c r="P87" s="16"/>
      <c r="Q87" s="16"/>
    </row>
    <row r="88" spans="1:22" customFormat="1" ht="24" customHeight="1" thickBot="1" x14ac:dyDescent="0.25">
      <c r="A88" s="1215" t="s">
        <v>70</v>
      </c>
      <c r="B88" s="1216"/>
      <c r="C88" s="1216"/>
      <c r="D88" s="1216"/>
      <c r="E88" s="1216"/>
      <c r="F88" s="1216"/>
      <c r="G88" s="1217"/>
      <c r="H88" s="64"/>
    </row>
    <row r="89" spans="1:22" customFormat="1" ht="24" customHeight="1" thickBot="1" x14ac:dyDescent="0.25">
      <c r="A89" s="1238" t="s">
        <v>71</v>
      </c>
      <c r="B89" s="1239"/>
      <c r="C89" s="1240"/>
      <c r="D89" s="1130">
        <v>40999</v>
      </c>
      <c r="E89" s="1131"/>
      <c r="F89" s="1131" t="str">
        <f>'Løntabel gældende fra'!$D$1</f>
        <v>01/10/2018</v>
      </c>
      <c r="G89" s="1227"/>
      <c r="H89" s="66"/>
    </row>
    <row r="90" spans="1:22" s="661" customFormat="1" ht="24" customHeight="1" thickBot="1" x14ac:dyDescent="0.25">
      <c r="A90" s="1241"/>
      <c r="B90" s="1242"/>
      <c r="C90" s="1243"/>
      <c r="D90" s="1228" t="s">
        <v>349</v>
      </c>
      <c r="E90" s="1229"/>
      <c r="F90" s="1228" t="s">
        <v>349</v>
      </c>
      <c r="G90" s="1229"/>
      <c r="H90" s="662"/>
      <c r="I90" s="662"/>
      <c r="J90" s="662"/>
      <c r="K90" s="662"/>
      <c r="L90" s="662"/>
      <c r="M90" s="662"/>
      <c r="N90" s="662"/>
      <c r="O90" s="662"/>
      <c r="P90" s="662"/>
      <c r="Q90" s="662"/>
      <c r="R90" s="662"/>
      <c r="S90" s="662"/>
      <c r="T90" s="662"/>
      <c r="U90" s="662"/>
      <c r="V90" s="662"/>
    </row>
    <row r="91" spans="1:22" customFormat="1" ht="15" customHeight="1" x14ac:dyDescent="0.2">
      <c r="A91" s="193" t="s">
        <v>72</v>
      </c>
      <c r="B91" s="194"/>
      <c r="C91" s="195"/>
      <c r="D91" s="196">
        <v>236</v>
      </c>
      <c r="E91" s="196">
        <v>334</v>
      </c>
      <c r="F91" s="663">
        <f>D91+D91*'Løntabel gældende fra'!$D$7%</f>
        <v>253.69339199999999</v>
      </c>
      <c r="G91" s="664">
        <f>E91+E91*'Løntabel gældende fra'!$D$7%</f>
        <v>359.04064799999998</v>
      </c>
      <c r="H91" s="59"/>
    </row>
    <row r="92" spans="1:22" customFormat="1" ht="15" customHeight="1" thickBot="1" x14ac:dyDescent="0.25">
      <c r="A92" s="144" t="s">
        <v>74</v>
      </c>
      <c r="B92" s="145"/>
      <c r="C92" s="197"/>
      <c r="D92" s="198">
        <v>170</v>
      </c>
      <c r="E92" s="198">
        <v>269</v>
      </c>
      <c r="F92" s="199">
        <f>D92+D92*'Løntabel gældende fra'!$D$7%</f>
        <v>182.74524</v>
      </c>
      <c r="G92" s="200">
        <f>E92+E92*'Løntabel gældende fra'!$D$7%</f>
        <v>289.16746799999999</v>
      </c>
      <c r="H92" s="59"/>
    </row>
    <row r="93" spans="1:22" customFormat="1" ht="24" customHeight="1" thickBot="1" x14ac:dyDescent="0.25">
      <c r="A93" s="1121" t="s">
        <v>73</v>
      </c>
      <c r="B93" s="1122"/>
      <c r="C93" s="1190"/>
      <c r="D93" s="1231">
        <f>D89</f>
        <v>40999</v>
      </c>
      <c r="E93" s="1232"/>
      <c r="F93" s="1230" t="str">
        <f>'Løntabel gældende fra'!$D$1</f>
        <v>01/10/2018</v>
      </c>
      <c r="G93" s="1227"/>
      <c r="H93" s="66"/>
    </row>
    <row r="94" spans="1:22" s="661" customFormat="1" ht="24" customHeight="1" thickBot="1" x14ac:dyDescent="0.25">
      <c r="A94" s="1118"/>
      <c r="B94" s="1119"/>
      <c r="C94" s="1120"/>
      <c r="D94" s="1228" t="s">
        <v>349</v>
      </c>
      <c r="E94" s="1229"/>
      <c r="F94" s="1228" t="s">
        <v>349</v>
      </c>
      <c r="G94" s="1229"/>
      <c r="H94" s="662"/>
      <c r="I94" s="662"/>
      <c r="J94" s="662"/>
      <c r="K94" s="662"/>
      <c r="L94" s="662"/>
      <c r="M94" s="662"/>
      <c r="N94" s="662"/>
      <c r="O94" s="662"/>
      <c r="P94" s="662"/>
      <c r="Q94" s="662"/>
      <c r="R94" s="662"/>
      <c r="S94" s="662"/>
      <c r="T94" s="662"/>
      <c r="U94" s="662"/>
      <c r="V94" s="662"/>
    </row>
    <row r="95" spans="1:22" customFormat="1" ht="15" customHeight="1" x14ac:dyDescent="0.2">
      <c r="A95" s="193" t="s">
        <v>72</v>
      </c>
      <c r="B95" s="194"/>
      <c r="C95" s="195"/>
      <c r="D95" s="196">
        <v>203</v>
      </c>
      <c r="E95" s="196">
        <v>334</v>
      </c>
      <c r="F95" s="201">
        <f>D95+D95*'Løntabel gældende fra'!$D$7%</f>
        <v>218.21931599999999</v>
      </c>
      <c r="G95" s="202">
        <f>E95+E95*'Løntabel gældende fra'!$D$7%</f>
        <v>359.04064799999998</v>
      </c>
      <c r="H95" s="59"/>
    </row>
    <row r="96" spans="1:22" customFormat="1" ht="15" customHeight="1" thickBot="1" x14ac:dyDescent="0.25">
      <c r="A96" s="652" t="s">
        <v>74</v>
      </c>
      <c r="B96" s="653"/>
      <c r="C96" s="654"/>
      <c r="D96" s="203">
        <v>138</v>
      </c>
      <c r="E96" s="203">
        <v>269</v>
      </c>
      <c r="F96" s="204">
        <f>D96+D96*'Løntabel gældende fra'!$D$7%</f>
        <v>148.346136</v>
      </c>
      <c r="G96" s="205">
        <f>E96+E96*'Løntabel gældende fra'!$D$7%</f>
        <v>289.16746799999999</v>
      </c>
      <c r="H96" s="59"/>
    </row>
    <row r="97" spans="1:15" ht="24" customHeight="1" thickBot="1" x14ac:dyDescent="0.2">
      <c r="A97" s="7"/>
      <c r="B97" s="7"/>
      <c r="C97" s="7"/>
      <c r="D97" s="7"/>
      <c r="E97" s="7"/>
      <c r="F97" s="7"/>
      <c r="G97" s="7"/>
      <c r="H97" s="7"/>
      <c r="I97" s="7"/>
    </row>
    <row r="98" spans="1:15" customFormat="1" ht="24" customHeight="1" thickBot="1" x14ac:dyDescent="0.25">
      <c r="A98" s="1215" t="s">
        <v>61</v>
      </c>
      <c r="B98" s="1216"/>
      <c r="C98" s="1216"/>
      <c r="D98" s="1216"/>
      <c r="E98" s="1216"/>
      <c r="F98" s="1216"/>
      <c r="G98" s="1217"/>
    </row>
    <row r="99" spans="1:15" customFormat="1" ht="16" thickBot="1" x14ac:dyDescent="0.25">
      <c r="A99" s="206"/>
      <c r="B99" s="207"/>
      <c r="C99" s="208"/>
      <c r="D99" s="1256">
        <v>40999</v>
      </c>
      <c r="E99" s="1257"/>
      <c r="F99" s="1270" t="str">
        <f>'Løntabel gældende fra'!$D$1</f>
        <v>01/10/2018</v>
      </c>
      <c r="G99" s="1271"/>
    </row>
    <row r="100" spans="1:15" customFormat="1" ht="16" thickBot="1" x14ac:dyDescent="0.25">
      <c r="A100" s="1132" t="s">
        <v>62</v>
      </c>
      <c r="B100" s="1133"/>
      <c r="C100" s="1133"/>
      <c r="D100" s="1213">
        <v>43.25</v>
      </c>
      <c r="E100" s="1214"/>
      <c r="F100" s="1134">
        <f>D100+D100*'Løntabel gældende fra'!$D$7%</f>
        <v>46.492539000000001</v>
      </c>
      <c r="G100" s="1135"/>
    </row>
    <row r="101" spans="1:15" customFormat="1" ht="42" customHeight="1" x14ac:dyDescent="0.2">
      <c r="A101" s="1235" t="s">
        <v>238</v>
      </c>
      <c r="B101" s="1236"/>
      <c r="C101" s="1237"/>
      <c r="D101" s="1213">
        <v>9.17</v>
      </c>
      <c r="E101" s="1214"/>
      <c r="F101" s="1134">
        <f>D101+D101*'Løntabel gældende fra'!$D$7%</f>
        <v>9.8574932400000002</v>
      </c>
      <c r="G101" s="1135"/>
    </row>
    <row r="102" spans="1:15" customFormat="1" ht="16" thickBot="1" x14ac:dyDescent="0.25">
      <c r="A102" s="71" t="s">
        <v>63</v>
      </c>
      <c r="B102" s="72"/>
      <c r="C102" s="72"/>
      <c r="D102" s="1211">
        <v>4587.3100000000004</v>
      </c>
      <c r="E102" s="1212"/>
      <c r="F102" s="1268">
        <f>D102+D102*'Løntabel gældende fra'!$D$7%</f>
        <v>4931.2298053200002</v>
      </c>
      <c r="G102" s="1269"/>
    </row>
    <row r="103" spans="1:15" customFormat="1" ht="15" x14ac:dyDescent="0.2">
      <c r="A103" s="82"/>
      <c r="B103" s="82"/>
      <c r="C103" s="82"/>
      <c r="D103" s="61"/>
      <c r="E103" s="107"/>
      <c r="F103" s="59"/>
      <c r="G103" s="59"/>
    </row>
    <row r="104" spans="1:15" ht="12" customHeight="1" thickBot="1" x14ac:dyDescent="0.25">
      <c r="A104" s="108"/>
      <c r="B104" s="109"/>
      <c r="C104" s="109"/>
      <c r="D104" s="109"/>
      <c r="E104" s="109"/>
      <c r="F104" s="59"/>
      <c r="G104" s="59"/>
      <c r="H104" s="7"/>
      <c r="I104" s="7"/>
    </row>
    <row r="105" spans="1:15" ht="20.25" customHeight="1" x14ac:dyDescent="0.15">
      <c r="A105" s="1108" t="s">
        <v>91</v>
      </c>
      <c r="B105" s="1109"/>
      <c r="C105" s="1109"/>
      <c r="D105" s="1109"/>
      <c r="E105" s="1109"/>
      <c r="F105" s="1109"/>
      <c r="G105" s="1109"/>
      <c r="H105" s="1109"/>
      <c r="I105" s="1110"/>
    </row>
    <row r="106" spans="1:15" ht="21" thickBot="1" x14ac:dyDescent="0.25">
      <c r="A106" s="1218" t="str">
        <f>'Løntabel gældende fra'!$D$1</f>
        <v>01/10/2018</v>
      </c>
      <c r="B106" s="1219"/>
      <c r="C106" s="1219"/>
      <c r="D106" s="1219"/>
      <c r="E106" s="1219"/>
      <c r="F106" s="1219"/>
      <c r="G106" s="1219"/>
      <c r="H106" s="1219"/>
      <c r="I106" s="1220"/>
    </row>
    <row r="107" spans="1:15" ht="18" customHeight="1" thickBot="1" x14ac:dyDescent="0.2">
      <c r="A107" s="1215" t="s">
        <v>89</v>
      </c>
      <c r="B107" s="1216"/>
      <c r="C107" s="1216"/>
      <c r="D107" s="1216"/>
      <c r="E107" s="1216"/>
      <c r="F107" s="1098"/>
      <c r="G107" s="1098"/>
      <c r="H107" s="1098"/>
      <c r="I107" s="1099"/>
    </row>
    <row r="108" spans="1:15" ht="16" customHeight="1" x14ac:dyDescent="0.15">
      <c r="A108" s="1262" t="s">
        <v>0</v>
      </c>
      <c r="B108" s="1121" t="s">
        <v>20</v>
      </c>
      <c r="C108" s="1122"/>
      <c r="D108" s="1122"/>
      <c r="E108" s="1122"/>
      <c r="F108" s="1272" t="s">
        <v>477</v>
      </c>
      <c r="G108" s="1273"/>
      <c r="H108" s="1233">
        <v>0.17299999999999999</v>
      </c>
      <c r="I108" s="1234"/>
      <c r="J108" s="3"/>
      <c r="K108" s="3"/>
      <c r="L108" s="3"/>
      <c r="M108" s="4"/>
      <c r="N108" s="4"/>
      <c r="O108" s="4"/>
    </row>
    <row r="109" spans="1:15" ht="16" customHeight="1" thickBot="1" x14ac:dyDescent="0.2">
      <c r="A109" s="1262"/>
      <c r="B109" s="1118"/>
      <c r="C109" s="1119"/>
      <c r="D109" s="1119"/>
      <c r="E109" s="1119"/>
      <c r="F109" s="1251" t="s">
        <v>490</v>
      </c>
      <c r="G109" s="1252"/>
      <c r="H109" s="1252"/>
      <c r="I109" s="1253"/>
      <c r="J109" s="3"/>
      <c r="K109" s="3"/>
      <c r="L109" s="3"/>
      <c r="M109" s="4"/>
      <c r="N109" s="4"/>
      <c r="O109" s="4"/>
    </row>
    <row r="110" spans="1:15" x14ac:dyDescent="0.15">
      <c r="A110" s="184">
        <v>1</v>
      </c>
      <c r="B110" s="1091">
        <f>H10</f>
        <v>23881.219628000003</v>
      </c>
      <c r="C110" s="1086"/>
      <c r="D110" s="1086"/>
      <c r="E110" s="1089"/>
      <c r="F110" s="1091">
        <f>B110*$H$108</f>
        <v>4131.4509956439997</v>
      </c>
      <c r="G110" s="1086"/>
      <c r="H110" s="1086"/>
      <c r="I110" s="1089"/>
    </row>
    <row r="111" spans="1:15" x14ac:dyDescent="0.15">
      <c r="A111" s="104">
        <v>2</v>
      </c>
      <c r="B111" s="1092">
        <f>H11</f>
        <v>25055.357795</v>
      </c>
      <c r="C111" s="1090"/>
      <c r="D111" s="1090"/>
      <c r="E111" s="1093"/>
      <c r="F111" s="1092">
        <f>B111*$H$108</f>
        <v>4334.5768985349996</v>
      </c>
      <c r="G111" s="1090"/>
      <c r="H111" s="1090"/>
      <c r="I111" s="1093"/>
    </row>
    <row r="112" spans="1:15" x14ac:dyDescent="0.15">
      <c r="A112" s="104">
        <v>3</v>
      </c>
      <c r="B112" s="1092">
        <f>H12</f>
        <v>26006.349690999999</v>
      </c>
      <c r="C112" s="1090"/>
      <c r="D112" s="1090"/>
      <c r="E112" s="1093"/>
      <c r="F112" s="1092">
        <f>B112*$H$108</f>
        <v>4499.0984965429998</v>
      </c>
      <c r="G112" s="1090"/>
      <c r="H112" s="1090"/>
      <c r="I112" s="1093"/>
    </row>
    <row r="113" spans="1:10" ht="15" customHeight="1" thickBot="1" x14ac:dyDescent="0.2">
      <c r="A113" s="105">
        <v>4</v>
      </c>
      <c r="B113" s="1094">
        <f>H13</f>
        <v>27685.366374000001</v>
      </c>
      <c r="C113" s="1076"/>
      <c r="D113" s="1076"/>
      <c r="E113" s="1079"/>
      <c r="F113" s="1094">
        <f>B113*$H$108</f>
        <v>4789.5683827020002</v>
      </c>
      <c r="G113" s="1076"/>
      <c r="H113" s="1076"/>
      <c r="I113" s="1079"/>
    </row>
    <row r="114" spans="1:10" ht="18" customHeight="1" thickBot="1" x14ac:dyDescent="0.2">
      <c r="A114" s="1097" t="s">
        <v>90</v>
      </c>
      <c r="B114" s="1098"/>
      <c r="C114" s="1098"/>
      <c r="D114" s="1098"/>
      <c r="E114" s="1098"/>
      <c r="F114" s="1098"/>
      <c r="G114" s="1098"/>
      <c r="H114" s="1098"/>
      <c r="I114" s="1099"/>
    </row>
    <row r="115" spans="1:10" ht="23" customHeight="1" x14ac:dyDescent="0.15">
      <c r="A115" s="1264" t="s">
        <v>0</v>
      </c>
      <c r="B115" s="1129" t="s">
        <v>145</v>
      </c>
      <c r="C115" s="1121" t="s">
        <v>23</v>
      </c>
      <c r="D115" s="1122"/>
      <c r="E115" s="1122"/>
      <c r="F115" s="1121" t="s">
        <v>24</v>
      </c>
      <c r="G115" s="1122"/>
      <c r="H115" s="1100" t="s">
        <v>94</v>
      </c>
      <c r="I115" s="1101"/>
    </row>
    <row r="116" spans="1:10" ht="22.5" customHeight="1" thickBot="1" x14ac:dyDescent="0.2">
      <c r="A116" s="1262"/>
      <c r="B116" s="1125"/>
      <c r="C116" s="1095">
        <f>B52</f>
        <v>40999</v>
      </c>
      <c r="D116" s="1096"/>
      <c r="E116" s="1096"/>
      <c r="F116" s="1095" t="str">
        <f>'Løntabel gældende fra'!$D$1</f>
        <v>01/10/2018</v>
      </c>
      <c r="G116" s="1096"/>
      <c r="H116" s="1102"/>
      <c r="I116" s="1103"/>
    </row>
    <row r="117" spans="1:10" ht="15" customHeight="1" thickBot="1" x14ac:dyDescent="0.2">
      <c r="A117" s="1262"/>
      <c r="B117" s="1125"/>
      <c r="C117" s="1100" t="s">
        <v>87</v>
      </c>
      <c r="D117" s="1101"/>
      <c r="E117" s="862" t="s">
        <v>88</v>
      </c>
      <c r="F117" s="862" t="s">
        <v>87</v>
      </c>
      <c r="G117" s="864" t="s">
        <v>88</v>
      </c>
      <c r="H117" s="1104">
        <v>0.15</v>
      </c>
      <c r="I117" s="1105"/>
    </row>
    <row r="118" spans="1:10" x14ac:dyDescent="0.15">
      <c r="A118" s="159">
        <v>1</v>
      </c>
      <c r="B118" s="431">
        <v>21</v>
      </c>
      <c r="C118" s="1087">
        <f>+'Statens skalatrin'!N66</f>
        <v>241583.32</v>
      </c>
      <c r="D118" s="1088"/>
      <c r="E118" s="861">
        <f>C118/12</f>
        <v>20131.943333333333</v>
      </c>
      <c r="F118" s="241">
        <f>ROUND(C118*(1+'Løntabel gældende fra'!$D$7/100),0)</f>
        <v>259695</v>
      </c>
      <c r="G118" s="860">
        <f>F118/12</f>
        <v>21641.25</v>
      </c>
      <c r="H118" s="1106">
        <f t="shared" ref="H118:H131" si="1">G118*$H$117</f>
        <v>3246.1875</v>
      </c>
      <c r="I118" s="1107"/>
      <c r="J118" s="50"/>
    </row>
    <row r="119" spans="1:10" x14ac:dyDescent="0.15">
      <c r="A119" s="868">
        <v>1</v>
      </c>
      <c r="B119" s="869">
        <v>23</v>
      </c>
      <c r="C119" s="1072">
        <f>+'Statens skalatrin'!N72</f>
        <v>250472.55</v>
      </c>
      <c r="D119" s="1073"/>
      <c r="E119" s="210">
        <f t="shared" ref="E119:E131" si="2">C119/12</f>
        <v>20872.712499999998</v>
      </c>
      <c r="F119" s="242">
        <f>ROUND(C119*(1+'Løntabel gældende fra'!$D$7/100),0)</f>
        <v>269251</v>
      </c>
      <c r="G119" s="313">
        <f t="shared" ref="G119:G131" si="3">F119/12</f>
        <v>22437.583333333332</v>
      </c>
      <c r="H119" s="1072">
        <f t="shared" si="1"/>
        <v>3365.6374999999998</v>
      </c>
      <c r="I119" s="1073"/>
    </row>
    <row r="120" spans="1:10" x14ac:dyDescent="0.15">
      <c r="A120" s="868">
        <v>2</v>
      </c>
      <c r="B120" s="869">
        <v>25</v>
      </c>
      <c r="C120" s="1072">
        <f>+'Statens skalatrin'!N78</f>
        <v>259721.7</v>
      </c>
      <c r="D120" s="1073"/>
      <c r="E120" s="210">
        <f t="shared" si="2"/>
        <v>21643.475000000002</v>
      </c>
      <c r="F120" s="242">
        <f>ROUND(C120*(1+'Løntabel gældende fra'!$D$7/100),0)</f>
        <v>279194</v>
      </c>
      <c r="G120" s="313">
        <f t="shared" si="3"/>
        <v>23266.166666666668</v>
      </c>
      <c r="H120" s="1072">
        <f t="shared" si="1"/>
        <v>3489.9250000000002</v>
      </c>
      <c r="I120" s="1073"/>
    </row>
    <row r="121" spans="1:10" x14ac:dyDescent="0.15">
      <c r="A121" s="868">
        <v>2</v>
      </c>
      <c r="B121" s="869">
        <v>27</v>
      </c>
      <c r="C121" s="1072">
        <f>+'Statens skalatrin'!N84</f>
        <v>269459.90000000002</v>
      </c>
      <c r="D121" s="1073"/>
      <c r="E121" s="210">
        <f t="shared" si="2"/>
        <v>22454.991666666669</v>
      </c>
      <c r="F121" s="242">
        <f>ROUND(C121*(1+'Løntabel gældende fra'!$D$7/100),0)</f>
        <v>289662</v>
      </c>
      <c r="G121" s="313">
        <f t="shared" si="3"/>
        <v>24138.5</v>
      </c>
      <c r="H121" s="1072">
        <f t="shared" si="1"/>
        <v>3620.7750000000001</v>
      </c>
      <c r="I121" s="1073"/>
    </row>
    <row r="122" spans="1:10" x14ac:dyDescent="0.15">
      <c r="A122" s="868">
        <v>3</v>
      </c>
      <c r="B122" s="869">
        <v>28</v>
      </c>
      <c r="C122" s="1072">
        <f>+'Statens skalatrin'!N87</f>
        <v>274522.23</v>
      </c>
      <c r="D122" s="1073"/>
      <c r="E122" s="210">
        <f t="shared" si="2"/>
        <v>22876.852499999997</v>
      </c>
      <c r="F122" s="242">
        <f>ROUND(C122*(1+'Løntabel gældende fra'!$D$7/100),0)</f>
        <v>295104</v>
      </c>
      <c r="G122" s="313">
        <f t="shared" si="3"/>
        <v>24592</v>
      </c>
      <c r="H122" s="1072">
        <f t="shared" si="1"/>
        <v>3688.7999999999997</v>
      </c>
      <c r="I122" s="1073"/>
    </row>
    <row r="123" spans="1:10" x14ac:dyDescent="0.15">
      <c r="A123" s="868">
        <v>3</v>
      </c>
      <c r="B123" s="869">
        <v>29</v>
      </c>
      <c r="C123" s="1072">
        <f>+'Statens skalatrin'!N90</f>
        <v>279714.99</v>
      </c>
      <c r="D123" s="1073"/>
      <c r="E123" s="210">
        <f t="shared" si="2"/>
        <v>23309.5825</v>
      </c>
      <c r="F123" s="242">
        <f>ROUND(C123*(1+'Løntabel gældende fra'!$D$7/100),0)</f>
        <v>300686</v>
      </c>
      <c r="G123" s="313">
        <f t="shared" si="3"/>
        <v>25057.166666666668</v>
      </c>
      <c r="H123" s="1072">
        <f t="shared" si="1"/>
        <v>3758.5749999999998</v>
      </c>
      <c r="I123" s="1073"/>
    </row>
    <row r="124" spans="1:10" x14ac:dyDescent="0.15">
      <c r="A124" s="868">
        <v>3</v>
      </c>
      <c r="B124" s="869">
        <v>30</v>
      </c>
      <c r="C124" s="1072">
        <f>+'Statens skalatrin'!N93</f>
        <v>285044.74</v>
      </c>
      <c r="D124" s="1073"/>
      <c r="E124" s="210">
        <f t="shared" si="2"/>
        <v>23753.728333333333</v>
      </c>
      <c r="F124" s="242">
        <f>ROUND(C124*(1+'Løntabel gældende fra'!$D$7/100),0)</f>
        <v>306415</v>
      </c>
      <c r="G124" s="313">
        <f t="shared" si="3"/>
        <v>25534.583333333332</v>
      </c>
      <c r="H124" s="1072">
        <f t="shared" si="1"/>
        <v>3830.1874999999995</v>
      </c>
      <c r="I124" s="1073"/>
    </row>
    <row r="125" spans="1:10" x14ac:dyDescent="0.15">
      <c r="A125" s="868">
        <v>3</v>
      </c>
      <c r="B125" s="869">
        <v>31</v>
      </c>
      <c r="C125" s="1072">
        <f>+'Statens skalatrin'!N96</f>
        <v>290512.64000000001</v>
      </c>
      <c r="D125" s="1073"/>
      <c r="E125" s="210">
        <f t="shared" si="2"/>
        <v>24209.386666666669</v>
      </c>
      <c r="F125" s="242">
        <f>ROUND(C125*(1+'Løntabel gældende fra'!$D$7/100),0)</f>
        <v>312293</v>
      </c>
      <c r="G125" s="313">
        <f t="shared" si="3"/>
        <v>26024.416666666668</v>
      </c>
      <c r="H125" s="1072">
        <f t="shared" si="1"/>
        <v>3903.6624999999999</v>
      </c>
      <c r="I125" s="1073"/>
    </row>
    <row r="126" spans="1:10" x14ac:dyDescent="0.15">
      <c r="A126" s="868">
        <v>28</v>
      </c>
      <c r="B126" s="869">
        <v>28</v>
      </c>
      <c r="C126" s="1072">
        <f>+C122</f>
        <v>274522.23</v>
      </c>
      <c r="D126" s="1073"/>
      <c r="E126" s="210">
        <f t="shared" si="2"/>
        <v>22876.852499999997</v>
      </c>
      <c r="F126" s="242">
        <f>ROUND(C126*(1+'Løntabel gældende fra'!$D$7/100),0)</f>
        <v>295104</v>
      </c>
      <c r="G126" s="313">
        <f t="shared" si="3"/>
        <v>24592</v>
      </c>
      <c r="H126" s="1072">
        <f t="shared" si="1"/>
        <v>3688.7999999999997</v>
      </c>
      <c r="I126" s="1073"/>
    </row>
    <row r="127" spans="1:10" x14ac:dyDescent="0.15">
      <c r="A127" s="868">
        <v>29</v>
      </c>
      <c r="B127" s="869">
        <v>29</v>
      </c>
      <c r="C127" s="1072">
        <f>+C123</f>
        <v>279714.99</v>
      </c>
      <c r="D127" s="1073"/>
      <c r="E127" s="210">
        <f t="shared" si="2"/>
        <v>23309.5825</v>
      </c>
      <c r="F127" s="242">
        <f>ROUND(C127*(1+'Løntabel gældende fra'!$D$7/100),0)</f>
        <v>300686</v>
      </c>
      <c r="G127" s="313">
        <f t="shared" si="3"/>
        <v>25057.166666666668</v>
      </c>
      <c r="H127" s="1072">
        <f t="shared" si="1"/>
        <v>3758.5749999999998</v>
      </c>
      <c r="I127" s="1073"/>
    </row>
    <row r="128" spans="1:10" x14ac:dyDescent="0.15">
      <c r="A128" s="868">
        <v>30</v>
      </c>
      <c r="B128" s="869">
        <v>30</v>
      </c>
      <c r="C128" s="1072">
        <f>+C124</f>
        <v>285044.74</v>
      </c>
      <c r="D128" s="1073"/>
      <c r="E128" s="210">
        <f t="shared" si="2"/>
        <v>23753.728333333333</v>
      </c>
      <c r="F128" s="242">
        <f>ROUND(C128*(1+'Løntabel gældende fra'!$D$7/100),0)</f>
        <v>306415</v>
      </c>
      <c r="G128" s="313">
        <f t="shared" si="3"/>
        <v>25534.583333333332</v>
      </c>
      <c r="H128" s="1072">
        <f t="shared" si="1"/>
        <v>3830.1874999999995</v>
      </c>
      <c r="I128" s="1073"/>
    </row>
    <row r="129" spans="1:9" x14ac:dyDescent="0.15">
      <c r="A129" s="868">
        <v>31</v>
      </c>
      <c r="B129" s="869">
        <v>31</v>
      </c>
      <c r="C129" s="1072">
        <f>+C125</f>
        <v>290512.64000000001</v>
      </c>
      <c r="D129" s="1073"/>
      <c r="E129" s="210">
        <f t="shared" si="2"/>
        <v>24209.386666666669</v>
      </c>
      <c r="F129" s="242">
        <f>ROUND(C129*(1+'Løntabel gældende fra'!$D$7/100),0)</f>
        <v>312293</v>
      </c>
      <c r="G129" s="313">
        <f t="shared" si="3"/>
        <v>26024.416666666668</v>
      </c>
      <c r="H129" s="1072">
        <f t="shared" si="1"/>
        <v>3903.6624999999999</v>
      </c>
      <c r="I129" s="1073"/>
    </row>
    <row r="130" spans="1:9" x14ac:dyDescent="0.15">
      <c r="A130" s="868">
        <v>32</v>
      </c>
      <c r="B130" s="869">
        <v>32</v>
      </c>
      <c r="C130" s="1072">
        <f>+'Statens skalatrin'!N99</f>
        <v>296125.21000000002</v>
      </c>
      <c r="D130" s="1073"/>
      <c r="E130" s="210">
        <f t="shared" si="2"/>
        <v>24677.100833333334</v>
      </c>
      <c r="F130" s="242">
        <f>ROUND(C130*(1+'Løntabel gældende fra'!$D$7/100),0)</f>
        <v>318326</v>
      </c>
      <c r="G130" s="313">
        <f t="shared" si="3"/>
        <v>26527.166666666668</v>
      </c>
      <c r="H130" s="1072">
        <f t="shared" si="1"/>
        <v>3979.0749999999998</v>
      </c>
      <c r="I130" s="1073"/>
    </row>
    <row r="131" spans="1:9" ht="15" customHeight="1" thickBot="1" x14ac:dyDescent="0.2">
      <c r="A131" s="167">
        <v>33</v>
      </c>
      <c r="B131" s="432">
        <v>33</v>
      </c>
      <c r="C131" s="1077">
        <f>+'Statens skalatrin'!N102</f>
        <v>301881.8</v>
      </c>
      <c r="D131" s="1078"/>
      <c r="E131" s="867">
        <f t="shared" si="2"/>
        <v>25156.816666666666</v>
      </c>
      <c r="F131" s="243">
        <f>ROUND(C131*(1+'Løntabel gældende fra'!$D$7/100),0)</f>
        <v>324514</v>
      </c>
      <c r="G131" s="866">
        <f t="shared" si="3"/>
        <v>27042.833333333332</v>
      </c>
      <c r="H131" s="1077">
        <f t="shared" si="1"/>
        <v>4056.4249999999997</v>
      </c>
      <c r="I131" s="1078"/>
    </row>
    <row r="132" spans="1:9" ht="20" customHeight="1" x14ac:dyDescent="0.15">
      <c r="A132" s="1108" t="s">
        <v>92</v>
      </c>
      <c r="B132" s="1109"/>
      <c r="C132" s="1109"/>
      <c r="D132" s="1109"/>
      <c r="E132" s="1109"/>
      <c r="F132" s="1109"/>
      <c r="G132" s="1109"/>
      <c r="H132" s="1109"/>
      <c r="I132" s="1110"/>
    </row>
    <row r="133" spans="1:9" ht="17.25" customHeight="1" x14ac:dyDescent="0.15">
      <c r="A133" s="1111" t="str">
        <f>'Løntabel gældende fra'!$D$1</f>
        <v>01/10/2018</v>
      </c>
      <c r="B133" s="1112"/>
      <c r="C133" s="1112"/>
      <c r="D133" s="1112"/>
      <c r="E133" s="1112"/>
      <c r="F133" s="1112"/>
      <c r="G133" s="1112"/>
      <c r="H133" s="1112"/>
      <c r="I133" s="1113"/>
    </row>
    <row r="134" spans="1:9" ht="14.25" customHeight="1" thickBot="1" x14ac:dyDescent="0.2">
      <c r="A134" s="1258" t="s">
        <v>89</v>
      </c>
      <c r="B134" s="1259"/>
      <c r="C134" s="1259"/>
      <c r="D134" s="1259"/>
      <c r="E134" s="1259"/>
      <c r="F134" s="1260"/>
      <c r="G134" s="1260"/>
      <c r="H134" s="1260"/>
      <c r="I134" s="1261"/>
    </row>
    <row r="135" spans="1:9" x14ac:dyDescent="0.15">
      <c r="A135" s="1262" t="s">
        <v>0</v>
      </c>
      <c r="B135" s="1121" t="s">
        <v>20</v>
      </c>
      <c r="C135" s="1122"/>
      <c r="D135" s="1122"/>
      <c r="E135" s="1122"/>
      <c r="F135" s="1116" t="s">
        <v>94</v>
      </c>
      <c r="G135" s="1117"/>
      <c r="H135" s="946">
        <v>0.17299999999999999</v>
      </c>
      <c r="I135" s="947"/>
    </row>
    <row r="136" spans="1:9" ht="15" thickBot="1" x14ac:dyDescent="0.2">
      <c r="A136" s="1263"/>
      <c r="B136" s="1118"/>
      <c r="C136" s="1119"/>
      <c r="D136" s="1119"/>
      <c r="E136" s="1119"/>
      <c r="F136" s="1118" t="s">
        <v>490</v>
      </c>
      <c r="G136" s="1119"/>
      <c r="H136" s="1119"/>
      <c r="I136" s="1120"/>
    </row>
    <row r="137" spans="1:9" x14ac:dyDescent="0.15">
      <c r="A137" s="184">
        <v>1</v>
      </c>
      <c r="B137" s="1091">
        <f>E10</f>
        <v>25055.357795</v>
      </c>
      <c r="C137" s="1086"/>
      <c r="D137" s="1086"/>
      <c r="E137" s="1089"/>
      <c r="F137" s="1091">
        <f>B137*$H$135</f>
        <v>4334.5768985349996</v>
      </c>
      <c r="G137" s="1086"/>
      <c r="H137" s="1086"/>
      <c r="I137" s="1089"/>
    </row>
    <row r="138" spans="1:9" x14ac:dyDescent="0.15">
      <c r="A138" s="104">
        <v>2</v>
      </c>
      <c r="B138" s="1092">
        <f>E11</f>
        <v>26699.079564</v>
      </c>
      <c r="C138" s="1090"/>
      <c r="D138" s="1090"/>
      <c r="E138" s="1093"/>
      <c r="F138" s="1092">
        <f>B138*$H$135</f>
        <v>4618.9407645719994</v>
      </c>
      <c r="G138" s="1090"/>
      <c r="H138" s="1090"/>
      <c r="I138" s="1093"/>
    </row>
    <row r="139" spans="1:9" x14ac:dyDescent="0.15">
      <c r="A139" s="104">
        <v>3</v>
      </c>
      <c r="B139" s="1092">
        <f>E12</f>
        <v>29176.442118999999</v>
      </c>
      <c r="C139" s="1090"/>
      <c r="D139" s="1090"/>
      <c r="E139" s="1093"/>
      <c r="F139" s="1092">
        <f>B139*$H$135</f>
        <v>5047.524486587</v>
      </c>
      <c r="G139" s="1090"/>
      <c r="H139" s="1090"/>
      <c r="I139" s="1093"/>
    </row>
    <row r="140" spans="1:9" ht="15" thickBot="1" x14ac:dyDescent="0.2">
      <c r="A140" s="105">
        <v>4</v>
      </c>
      <c r="B140" s="1094">
        <f>E13</f>
        <v>31477.688427999998</v>
      </c>
      <c r="C140" s="1076"/>
      <c r="D140" s="1076"/>
      <c r="E140" s="1079"/>
      <c r="F140" s="1094">
        <f>B140*$H$135</f>
        <v>5445.6400980439994</v>
      </c>
      <c r="G140" s="1076"/>
      <c r="H140" s="1076"/>
      <c r="I140" s="1079"/>
    </row>
    <row r="141" spans="1:9" ht="19" thickBot="1" x14ac:dyDescent="0.2">
      <c r="A141" s="1215" t="s">
        <v>90</v>
      </c>
      <c r="B141" s="1216"/>
      <c r="C141" s="1216"/>
      <c r="D141" s="1216"/>
      <c r="E141" s="1216"/>
      <c r="F141" s="1216"/>
      <c r="G141" s="1216"/>
      <c r="H141" s="1216"/>
      <c r="I141" s="478"/>
    </row>
    <row r="142" spans="1:9" x14ac:dyDescent="0.15">
      <c r="A142" s="1125" t="s">
        <v>105</v>
      </c>
      <c r="B142" s="1125" t="s">
        <v>145</v>
      </c>
      <c r="C142" s="1126" t="s">
        <v>23</v>
      </c>
      <c r="D142" s="1126"/>
      <c r="E142" s="1126"/>
      <c r="F142" s="1127" t="s">
        <v>24</v>
      </c>
      <c r="G142" s="1126"/>
      <c r="H142" s="1100" t="s">
        <v>94</v>
      </c>
      <c r="I142" s="1101"/>
    </row>
    <row r="143" spans="1:9" ht="15" customHeight="1" thickBot="1" x14ac:dyDescent="0.2">
      <c r="A143" s="1125"/>
      <c r="B143" s="1125"/>
      <c r="C143" s="1096">
        <v>40999</v>
      </c>
      <c r="D143" s="1096"/>
      <c r="E143" s="1096"/>
      <c r="F143" s="1095" t="str">
        <f>'Løntabel gældende fra'!$D$1</f>
        <v>01/10/2018</v>
      </c>
      <c r="G143" s="1096"/>
      <c r="H143" s="1102"/>
      <c r="I143" s="1103"/>
    </row>
    <row r="144" spans="1:9" ht="15" thickBot="1" x14ac:dyDescent="0.2">
      <c r="A144" s="1174"/>
      <c r="B144" s="1125"/>
      <c r="C144" s="1155" t="s">
        <v>87</v>
      </c>
      <c r="D144" s="1101"/>
      <c r="E144" s="862" t="s">
        <v>88</v>
      </c>
      <c r="F144" s="863" t="s">
        <v>87</v>
      </c>
      <c r="G144" s="864" t="s">
        <v>88</v>
      </c>
      <c r="H144" s="1123">
        <v>0.15</v>
      </c>
      <c r="I144" s="1124"/>
    </row>
    <row r="145" spans="1:10" ht="19" customHeight="1" x14ac:dyDescent="0.15">
      <c r="A145" s="159">
        <v>1</v>
      </c>
      <c r="B145" s="431">
        <v>24</v>
      </c>
      <c r="C145" s="1087">
        <f>+'Statens skalatrin'!N75</f>
        <v>255037.97</v>
      </c>
      <c r="D145" s="1088"/>
      <c r="E145" s="861">
        <f>C145/12</f>
        <v>21253.164166666666</v>
      </c>
      <c r="F145" s="241">
        <f>ROUND(C145*(1+'Løntabel gældende fra'!$D$7/100),0)</f>
        <v>274159</v>
      </c>
      <c r="G145" s="860">
        <f>F145/12</f>
        <v>22846.583333333332</v>
      </c>
      <c r="H145" s="1106">
        <f t="shared" ref="H145:H159" si="4">G145*$H$144</f>
        <v>3426.9874999999997</v>
      </c>
      <c r="I145" s="1107"/>
    </row>
    <row r="146" spans="1:10" ht="14" customHeight="1" x14ac:dyDescent="0.15">
      <c r="A146" s="868">
        <v>1</v>
      </c>
      <c r="B146" s="869">
        <v>25</v>
      </c>
      <c r="C146" s="1072">
        <f>+'Statens skalatrin'!N78</f>
        <v>259721.7</v>
      </c>
      <c r="D146" s="1073"/>
      <c r="E146" s="210">
        <f t="shared" ref="E146:E159" si="5">C146/12</f>
        <v>21643.475000000002</v>
      </c>
      <c r="F146" s="242">
        <f>ROUND(C146*(1+'Løntabel gældende fra'!$D$7/100),0)</f>
        <v>279194</v>
      </c>
      <c r="G146" s="313">
        <f t="shared" ref="G146:G159" si="6">F146/12</f>
        <v>23266.166666666668</v>
      </c>
      <c r="H146" s="1072">
        <f t="shared" si="4"/>
        <v>3489.9250000000002</v>
      </c>
      <c r="I146" s="1073"/>
      <c r="J146" s="51"/>
    </row>
    <row r="147" spans="1:10" x14ac:dyDescent="0.15">
      <c r="A147" s="868">
        <v>2</v>
      </c>
      <c r="B147" s="869">
        <v>27</v>
      </c>
      <c r="C147" s="1072">
        <f>+'Statens skalatrin'!N84</f>
        <v>269459.90000000002</v>
      </c>
      <c r="D147" s="1073"/>
      <c r="E147" s="210">
        <f t="shared" si="5"/>
        <v>22454.991666666669</v>
      </c>
      <c r="F147" s="242">
        <f>ROUND(C147*(1+'Løntabel gældende fra'!$D$7/100),0)</f>
        <v>289662</v>
      </c>
      <c r="G147" s="313">
        <f t="shared" si="6"/>
        <v>24138.5</v>
      </c>
      <c r="H147" s="1072">
        <f t="shared" si="4"/>
        <v>3620.7750000000001</v>
      </c>
      <c r="I147" s="1073"/>
    </row>
    <row r="148" spans="1:10" x14ac:dyDescent="0.15">
      <c r="A148" s="868">
        <v>2</v>
      </c>
      <c r="B148" s="869">
        <v>29</v>
      </c>
      <c r="C148" s="1072">
        <f>+'Statens skalatrin'!N90</f>
        <v>279714.99</v>
      </c>
      <c r="D148" s="1073"/>
      <c r="E148" s="210">
        <f t="shared" si="5"/>
        <v>23309.5825</v>
      </c>
      <c r="F148" s="242">
        <f>ROUND(C148*(1+'Løntabel gældende fra'!$D$7/100),0)</f>
        <v>300686</v>
      </c>
      <c r="G148" s="313">
        <f t="shared" si="6"/>
        <v>25057.166666666668</v>
      </c>
      <c r="H148" s="1072">
        <f t="shared" si="4"/>
        <v>3758.5749999999998</v>
      </c>
      <c r="I148" s="1073"/>
    </row>
    <row r="149" spans="1:10" x14ac:dyDescent="0.15">
      <c r="A149" s="868">
        <v>3</v>
      </c>
      <c r="B149" s="869">
        <v>31</v>
      </c>
      <c r="C149" s="1072">
        <f>+'Statens skalatrin'!N96</f>
        <v>290512.64000000001</v>
      </c>
      <c r="D149" s="1073"/>
      <c r="E149" s="210">
        <f t="shared" si="5"/>
        <v>24209.386666666669</v>
      </c>
      <c r="F149" s="242">
        <f>ROUND(C149*(1+'Løntabel gældende fra'!$D$7/100),0)</f>
        <v>312293</v>
      </c>
      <c r="G149" s="313">
        <f t="shared" si="6"/>
        <v>26024.416666666668</v>
      </c>
      <c r="H149" s="1072">
        <f t="shared" si="4"/>
        <v>3903.6624999999999</v>
      </c>
      <c r="I149" s="1073"/>
    </row>
    <row r="150" spans="1:10" x14ac:dyDescent="0.15">
      <c r="A150" s="868">
        <v>3</v>
      </c>
      <c r="B150" s="869">
        <v>33</v>
      </c>
      <c r="C150" s="1072">
        <f>+'Statens skalatrin'!N102</f>
        <v>301881.8</v>
      </c>
      <c r="D150" s="1073"/>
      <c r="E150" s="210">
        <f t="shared" si="5"/>
        <v>25156.816666666666</v>
      </c>
      <c r="F150" s="242">
        <f>ROUND(C150*(1+'Løntabel gældende fra'!$D$7/100),0)</f>
        <v>324514</v>
      </c>
      <c r="G150" s="313">
        <f t="shared" si="6"/>
        <v>27042.833333333332</v>
      </c>
      <c r="H150" s="1072">
        <f t="shared" si="4"/>
        <v>4056.4249999999997</v>
      </c>
      <c r="I150" s="1073"/>
    </row>
    <row r="151" spans="1:10" x14ac:dyDescent="0.15">
      <c r="A151" s="868">
        <v>3</v>
      </c>
      <c r="B151" s="869">
        <v>35</v>
      </c>
      <c r="C151" s="1072">
        <f>+'Statens skalatrin'!N108</f>
        <v>313854.56</v>
      </c>
      <c r="D151" s="1073"/>
      <c r="E151" s="210">
        <f t="shared" si="5"/>
        <v>26154.546666666665</v>
      </c>
      <c r="F151" s="242">
        <f>ROUND(C151*(1+'Løntabel gældende fra'!$D$7/100),0)</f>
        <v>337385</v>
      </c>
      <c r="G151" s="313">
        <f t="shared" si="6"/>
        <v>28115.416666666668</v>
      </c>
      <c r="H151" s="1072">
        <f t="shared" si="4"/>
        <v>4217.3125</v>
      </c>
      <c r="I151" s="1073"/>
    </row>
    <row r="152" spans="1:10" x14ac:dyDescent="0.15">
      <c r="A152" s="868">
        <v>3</v>
      </c>
      <c r="B152" s="869">
        <v>37</v>
      </c>
      <c r="C152" s="1072">
        <f>+'Statens skalatrin'!N114</f>
        <v>326457.34000000003</v>
      </c>
      <c r="D152" s="1073"/>
      <c r="E152" s="210">
        <f t="shared" si="5"/>
        <v>27204.778333333335</v>
      </c>
      <c r="F152" s="242">
        <f>ROUND(C152*(1+'Løntabel gældende fra'!$D$7/100),0)</f>
        <v>350932</v>
      </c>
      <c r="G152" s="313">
        <f t="shared" si="6"/>
        <v>29244.333333333332</v>
      </c>
      <c r="H152" s="1072">
        <f t="shared" si="4"/>
        <v>4386.6499999999996</v>
      </c>
      <c r="I152" s="1073"/>
    </row>
    <row r="153" spans="1:10" x14ac:dyDescent="0.15">
      <c r="A153" s="868">
        <v>3</v>
      </c>
      <c r="B153" s="869">
        <v>40</v>
      </c>
      <c r="C153" s="1072">
        <f>+'Statens skalatrin'!N123</f>
        <v>347027.46</v>
      </c>
      <c r="D153" s="1073"/>
      <c r="E153" s="210">
        <f t="shared" si="5"/>
        <v>28918.955000000002</v>
      </c>
      <c r="F153" s="242">
        <f>ROUND(C153*(1+'Løntabel gældende fra'!$D$7/100),0)</f>
        <v>373045</v>
      </c>
      <c r="G153" s="313">
        <f t="shared" si="6"/>
        <v>31087.083333333332</v>
      </c>
      <c r="H153" s="1072">
        <f t="shared" si="4"/>
        <v>4663.0625</v>
      </c>
      <c r="I153" s="1073"/>
    </row>
    <row r="154" spans="1:10" x14ac:dyDescent="0.15">
      <c r="A154" s="868">
        <v>35</v>
      </c>
      <c r="B154" s="869">
        <v>35</v>
      </c>
      <c r="C154" s="1072">
        <f>+C151</f>
        <v>313854.56</v>
      </c>
      <c r="D154" s="1073"/>
      <c r="E154" s="210">
        <f t="shared" si="5"/>
        <v>26154.546666666665</v>
      </c>
      <c r="F154" s="242">
        <f>ROUND(C154*(1+'Løntabel gældende fra'!$D$7/100),0)</f>
        <v>337385</v>
      </c>
      <c r="G154" s="313">
        <f t="shared" si="6"/>
        <v>28115.416666666668</v>
      </c>
      <c r="H154" s="1072">
        <f t="shared" si="4"/>
        <v>4217.3125</v>
      </c>
      <c r="I154" s="1073"/>
    </row>
    <row r="155" spans="1:10" x14ac:dyDescent="0.15">
      <c r="A155" s="868">
        <v>36</v>
      </c>
      <c r="B155" s="869">
        <v>36</v>
      </c>
      <c r="C155" s="1072">
        <f>+'Statens skalatrin'!N111</f>
        <v>320074.68</v>
      </c>
      <c r="D155" s="1073"/>
      <c r="E155" s="210">
        <f t="shared" si="5"/>
        <v>26672.89</v>
      </c>
      <c r="F155" s="242">
        <f>ROUND(C155*(1+'Løntabel gældende fra'!$D$7/100),0)</f>
        <v>344071</v>
      </c>
      <c r="G155" s="313">
        <f t="shared" si="6"/>
        <v>28672.583333333332</v>
      </c>
      <c r="H155" s="1072">
        <f t="shared" si="4"/>
        <v>4300.8874999999998</v>
      </c>
      <c r="I155" s="1073"/>
    </row>
    <row r="156" spans="1:10" x14ac:dyDescent="0.15">
      <c r="A156" s="868">
        <v>38</v>
      </c>
      <c r="B156" s="869">
        <v>38</v>
      </c>
      <c r="C156" s="1072">
        <f>+'Statens skalatrin'!N117</f>
        <v>333128.88</v>
      </c>
      <c r="D156" s="1073"/>
      <c r="E156" s="210">
        <f t="shared" si="5"/>
        <v>27760.74</v>
      </c>
      <c r="F156" s="242">
        <f>ROUND(C156*(1+'Løntabel gældende fra'!$D$7/100),0)</f>
        <v>358104</v>
      </c>
      <c r="G156" s="313">
        <f t="shared" si="6"/>
        <v>29842</v>
      </c>
      <c r="H156" s="1072">
        <f t="shared" si="4"/>
        <v>4476.3</v>
      </c>
      <c r="I156" s="1073"/>
    </row>
    <row r="157" spans="1:10" x14ac:dyDescent="0.15">
      <c r="A157" s="868">
        <v>40</v>
      </c>
      <c r="B157" s="869">
        <v>40</v>
      </c>
      <c r="C157" s="1072">
        <f>+'Statens skalatrin'!N123</f>
        <v>347027.46</v>
      </c>
      <c r="D157" s="1073"/>
      <c r="E157" s="210">
        <f t="shared" si="5"/>
        <v>28918.955000000002</v>
      </c>
      <c r="F157" s="242">
        <f>ROUND(C157*(1+'Løntabel gældende fra'!$D$7/100),0)</f>
        <v>373045</v>
      </c>
      <c r="G157" s="313">
        <f t="shared" si="6"/>
        <v>31087.083333333332</v>
      </c>
      <c r="H157" s="1072">
        <f t="shared" si="4"/>
        <v>4663.0625</v>
      </c>
      <c r="I157" s="1073"/>
    </row>
    <row r="158" spans="1:10" x14ac:dyDescent="0.15">
      <c r="A158" s="868">
        <v>41</v>
      </c>
      <c r="B158" s="869">
        <v>41</v>
      </c>
      <c r="C158" s="1072">
        <f>+'Statens skalatrin'!N126</f>
        <v>354249.23</v>
      </c>
      <c r="D158" s="1073"/>
      <c r="E158" s="210">
        <f t="shared" si="5"/>
        <v>29520.769166666665</v>
      </c>
      <c r="F158" s="242">
        <f>ROUND(C158*(1+'Løntabel gældende fra'!$D$7/100),0)</f>
        <v>380808</v>
      </c>
      <c r="G158" s="313">
        <f t="shared" si="6"/>
        <v>31734</v>
      </c>
      <c r="H158" s="1072">
        <f t="shared" si="4"/>
        <v>4760.0999999999995</v>
      </c>
      <c r="I158" s="1073"/>
    </row>
    <row r="159" spans="1:10" ht="15" thickBot="1" x14ac:dyDescent="0.2">
      <c r="A159" s="167">
        <v>42</v>
      </c>
      <c r="B159" s="432">
        <v>42</v>
      </c>
      <c r="C159" s="1077">
        <f>+'Statens skalatrin'!N129</f>
        <v>361659.2</v>
      </c>
      <c r="D159" s="1078"/>
      <c r="E159" s="867">
        <f t="shared" si="5"/>
        <v>30138.266666666666</v>
      </c>
      <c r="F159" s="243">
        <f>ROUND(C159*(1+'Løntabel gældende fra'!$D$7/100),0)</f>
        <v>388774</v>
      </c>
      <c r="G159" s="866">
        <f t="shared" si="6"/>
        <v>32397.833333333332</v>
      </c>
      <c r="H159" s="1077">
        <f t="shared" si="4"/>
        <v>4859.6749999999993</v>
      </c>
      <c r="I159" s="1078"/>
    </row>
    <row r="160" spans="1:10" x14ac:dyDescent="0.15">
      <c r="A160" s="1114" t="s">
        <v>503</v>
      </c>
      <c r="B160" s="1114"/>
      <c r="C160" s="1114"/>
      <c r="D160" s="1114"/>
      <c r="E160" s="1114"/>
      <c r="F160" s="1114"/>
      <c r="G160" s="1114"/>
      <c r="H160" s="1114"/>
      <c r="I160" s="1114"/>
    </row>
    <row r="161" spans="1:9" ht="15" hidden="1" customHeight="1" x14ac:dyDescent="0.15">
      <c r="A161" s="1115"/>
      <c r="B161" s="1115"/>
      <c r="C161" s="1115"/>
      <c r="D161" s="1115"/>
      <c r="E161" s="1115"/>
      <c r="F161" s="1115"/>
      <c r="G161" s="1115"/>
      <c r="H161" s="1115"/>
      <c r="I161" s="1115"/>
    </row>
    <row r="162" spans="1:9" s="76" customFormat="1" ht="15.75" customHeight="1" x14ac:dyDescent="0.2">
      <c r="A162" s="1115"/>
      <c r="B162" s="1115"/>
      <c r="C162" s="1115"/>
      <c r="D162" s="1115"/>
      <c r="E162" s="1115"/>
      <c r="F162" s="1115"/>
      <c r="G162" s="1115"/>
      <c r="H162" s="1115"/>
      <c r="I162" s="1115"/>
    </row>
    <row r="163" spans="1:9" s="76" customFormat="1" ht="15" x14ac:dyDescent="0.2">
      <c r="A163" s="1115"/>
      <c r="B163" s="1115"/>
      <c r="C163" s="1115"/>
      <c r="D163" s="1115"/>
      <c r="E163" s="1115"/>
      <c r="F163" s="1115"/>
      <c r="G163" s="1115"/>
      <c r="H163" s="1115"/>
      <c r="I163" s="1115"/>
    </row>
    <row r="164" spans="1:9" s="76" customFormat="1" ht="15" x14ac:dyDescent="0.2">
      <c r="A164" s="1115"/>
      <c r="B164" s="1115"/>
      <c r="C164" s="1115"/>
      <c r="D164" s="1115"/>
      <c r="E164" s="1115"/>
      <c r="F164" s="1115"/>
      <c r="G164" s="1115"/>
      <c r="H164" s="1115"/>
      <c r="I164" s="1115"/>
    </row>
    <row r="165" spans="1:9" s="76" customFormat="1" ht="15" x14ac:dyDescent="0.2">
      <c r="A165" s="1115"/>
      <c r="B165" s="1115"/>
      <c r="C165" s="1115"/>
      <c r="D165" s="1115"/>
      <c r="E165" s="1115"/>
      <c r="F165" s="1115"/>
      <c r="G165" s="1115"/>
      <c r="H165" s="1115"/>
      <c r="I165" s="1115"/>
    </row>
    <row r="166" spans="1:9" s="79" customFormat="1" ht="1" customHeight="1" x14ac:dyDescent="0.2">
      <c r="A166" s="1128"/>
      <c r="B166" s="1128"/>
      <c r="C166" s="1128"/>
      <c r="D166" s="1128"/>
      <c r="E166" s="1128"/>
      <c r="F166" s="1128"/>
      <c r="G166" s="1128"/>
      <c r="H166" s="1128"/>
      <c r="I166" s="76"/>
    </row>
    <row r="167" spans="1:9" s="76" customFormat="1" ht="15" x14ac:dyDescent="0.2">
      <c r="A167" s="82"/>
      <c r="B167" s="82"/>
      <c r="C167" s="82"/>
      <c r="D167" s="83"/>
      <c r="E167" s="81"/>
    </row>
    <row r="168" spans="1:9" s="76" customFormat="1" ht="15" x14ac:dyDescent="0.2">
      <c r="A168" s="82"/>
      <c r="B168" s="82"/>
      <c r="C168" s="82"/>
      <c r="D168" s="84"/>
      <c r="E168" s="85"/>
    </row>
    <row r="169" spans="1:9" s="76" customFormat="1" ht="15" x14ac:dyDescent="0.2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15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1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1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1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1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1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1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1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1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1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1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1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1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1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1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1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1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1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1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1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1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1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1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1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1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1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1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1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1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1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1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1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1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1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1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15">
      <c r="A205" s="7"/>
      <c r="B205" s="7"/>
      <c r="C205" s="7"/>
      <c r="D205" s="7"/>
      <c r="E205" s="7"/>
      <c r="F205" s="7"/>
      <c r="G205" s="7"/>
      <c r="H205" s="7"/>
      <c r="I205" s="7"/>
    </row>
    <row r="206" spans="1:9" x14ac:dyDescent="0.15">
      <c r="A206" s="7"/>
      <c r="B206" s="7"/>
      <c r="C206" s="7"/>
      <c r="D206" s="7"/>
      <c r="E206" s="7"/>
      <c r="F206" s="7"/>
      <c r="G206" s="7"/>
      <c r="H206" s="7"/>
      <c r="I206" s="7"/>
    </row>
    <row r="207" spans="1:9" x14ac:dyDescent="0.15">
      <c r="A207" s="7"/>
      <c r="B207" s="7"/>
      <c r="C207" s="7"/>
      <c r="D207" s="7"/>
      <c r="E207" s="7"/>
      <c r="F207" s="7"/>
      <c r="G207" s="7"/>
      <c r="H207" s="7"/>
      <c r="I207" s="7"/>
    </row>
    <row r="208" spans="1:9" x14ac:dyDescent="0.15">
      <c r="A208" s="7"/>
      <c r="B208" s="7"/>
      <c r="C208" s="7"/>
      <c r="D208" s="7"/>
      <c r="E208" s="7"/>
      <c r="F208" s="7"/>
      <c r="G208" s="7"/>
      <c r="H208" s="7"/>
      <c r="I208" s="7"/>
    </row>
    <row r="209" spans="1:9" x14ac:dyDescent="0.15">
      <c r="A209" s="7"/>
      <c r="B209" s="7"/>
      <c r="C209" s="7"/>
      <c r="D209" s="7"/>
      <c r="E209" s="7"/>
      <c r="F209" s="7"/>
      <c r="G209" s="7"/>
      <c r="H209" s="7"/>
      <c r="I209" s="7"/>
    </row>
    <row r="210" spans="1:9" x14ac:dyDescent="0.15">
      <c r="A210" s="7"/>
      <c r="B210" s="7"/>
      <c r="C210" s="7"/>
      <c r="D210" s="7"/>
      <c r="E210" s="7"/>
      <c r="F210" s="7"/>
      <c r="G210" s="7"/>
      <c r="H210" s="7"/>
      <c r="I210" s="7"/>
    </row>
    <row r="211" spans="1:9" x14ac:dyDescent="0.1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1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1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15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sheet="1" objects="1" scenarios="1"/>
  <mergeCells count="241">
    <mergeCell ref="C118:D118"/>
    <mergeCell ref="C115:E115"/>
    <mergeCell ref="F115:G115"/>
    <mergeCell ref="A49:G49"/>
    <mergeCell ref="B54:C54"/>
    <mergeCell ref="D54:E54"/>
    <mergeCell ref="B51:C51"/>
    <mergeCell ref="D51:E51"/>
    <mergeCell ref="B52:C52"/>
    <mergeCell ref="A50:G50"/>
    <mergeCell ref="F116:G116"/>
    <mergeCell ref="A115:A117"/>
    <mergeCell ref="A85:I85"/>
    <mergeCell ref="A86:I86"/>
    <mergeCell ref="A79:I79"/>
    <mergeCell ref="A108:A109"/>
    <mergeCell ref="F102:G102"/>
    <mergeCell ref="F99:G99"/>
    <mergeCell ref="B115:B117"/>
    <mergeCell ref="C117:D117"/>
    <mergeCell ref="F108:G108"/>
    <mergeCell ref="A107:I107"/>
    <mergeCell ref="D100:E100"/>
    <mergeCell ref="D94:E94"/>
    <mergeCell ref="A134:I134"/>
    <mergeCell ref="H122:I122"/>
    <mergeCell ref="H123:I123"/>
    <mergeCell ref="H124:I124"/>
    <mergeCell ref="H125:I125"/>
    <mergeCell ref="H121:I121"/>
    <mergeCell ref="C143:E143"/>
    <mergeCell ref="F143:G143"/>
    <mergeCell ref="A141:H141"/>
    <mergeCell ref="A142:A144"/>
    <mergeCell ref="A135:A136"/>
    <mergeCell ref="C121:D121"/>
    <mergeCell ref="C128:D128"/>
    <mergeCell ref="H128:I128"/>
    <mergeCell ref="H129:I129"/>
    <mergeCell ref="H130:I130"/>
    <mergeCell ref="A93:C94"/>
    <mergeCell ref="F93:G93"/>
    <mergeCell ref="D93:E93"/>
    <mergeCell ref="H108:I108"/>
    <mergeCell ref="B108:E109"/>
    <mergeCell ref="A101:C101"/>
    <mergeCell ref="F101:G101"/>
    <mergeCell ref="F43:G43"/>
    <mergeCell ref="F44:G44"/>
    <mergeCell ref="A89:C90"/>
    <mergeCell ref="A75:G76"/>
    <mergeCell ref="D47:E47"/>
    <mergeCell ref="D52:E52"/>
    <mergeCell ref="F56:G56"/>
    <mergeCell ref="A73:I73"/>
    <mergeCell ref="F55:G55"/>
    <mergeCell ref="D46:E46"/>
    <mergeCell ref="F109:I109"/>
    <mergeCell ref="A58:G58"/>
    <mergeCell ref="A59:G59"/>
    <mergeCell ref="A60:A61"/>
    <mergeCell ref="B60:C60"/>
    <mergeCell ref="D60:E60"/>
    <mergeCell ref="D99:E99"/>
    <mergeCell ref="D102:E102"/>
    <mergeCell ref="D101:E101"/>
    <mergeCell ref="A105:I105"/>
    <mergeCell ref="A98:G98"/>
    <mergeCell ref="A106:I106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F89:G89"/>
    <mergeCell ref="A88:G88"/>
    <mergeCell ref="A68:I68"/>
    <mergeCell ref="A74:I74"/>
    <mergeCell ref="A80:I80"/>
    <mergeCell ref="D90:E90"/>
    <mergeCell ref="F90:G90"/>
    <mergeCell ref="F94:G94"/>
    <mergeCell ref="B64:C64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A166:H166"/>
    <mergeCell ref="A51:A52"/>
    <mergeCell ref="D89:E89"/>
    <mergeCell ref="A100:C100"/>
    <mergeCell ref="F100:G100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1:G82"/>
    <mergeCell ref="A83:G83"/>
    <mergeCell ref="A84:G84"/>
    <mergeCell ref="F34:I34"/>
    <mergeCell ref="C144:D144"/>
    <mergeCell ref="B47:C47"/>
    <mergeCell ref="H120:I120"/>
    <mergeCell ref="A77:G77"/>
    <mergeCell ref="C147:D147"/>
    <mergeCell ref="C148:D148"/>
    <mergeCell ref="C149:D149"/>
    <mergeCell ref="C150:D150"/>
    <mergeCell ref="F135:G135"/>
    <mergeCell ref="F136:I136"/>
    <mergeCell ref="B135:E136"/>
    <mergeCell ref="B137:E137"/>
    <mergeCell ref="B140:E140"/>
    <mergeCell ref="F137:I137"/>
    <mergeCell ref="F138:I138"/>
    <mergeCell ref="F139:I139"/>
    <mergeCell ref="F140:I140"/>
    <mergeCell ref="H142:I143"/>
    <mergeCell ref="H144:I144"/>
    <mergeCell ref="H145:I145"/>
    <mergeCell ref="H146:I146"/>
    <mergeCell ref="H147:I147"/>
    <mergeCell ref="H148:I148"/>
    <mergeCell ref="H149:I149"/>
    <mergeCell ref="B142:B144"/>
    <mergeCell ref="C142:E142"/>
    <mergeCell ref="F142:G142"/>
    <mergeCell ref="A160:I165"/>
    <mergeCell ref="H158:I158"/>
    <mergeCell ref="H159:I159"/>
    <mergeCell ref="C159:D159"/>
    <mergeCell ref="C151:D151"/>
    <mergeCell ref="C152:D152"/>
    <mergeCell ref="C154:D154"/>
    <mergeCell ref="C155:D155"/>
    <mergeCell ref="C156:D156"/>
    <mergeCell ref="C157:D157"/>
    <mergeCell ref="C153:D153"/>
    <mergeCell ref="C158:D158"/>
    <mergeCell ref="H151:I151"/>
    <mergeCell ref="H152:I152"/>
    <mergeCell ref="H153:I153"/>
    <mergeCell ref="H154:I154"/>
    <mergeCell ref="H155:I155"/>
    <mergeCell ref="H156:I156"/>
    <mergeCell ref="H157:I157"/>
    <mergeCell ref="H117:I117"/>
    <mergeCell ref="H118:I118"/>
    <mergeCell ref="H119:I119"/>
    <mergeCell ref="H150:I150"/>
    <mergeCell ref="H131:I131"/>
    <mergeCell ref="A132:I132"/>
    <mergeCell ref="A133:I133"/>
    <mergeCell ref="H127:I127"/>
    <mergeCell ref="C145:D145"/>
    <mergeCell ref="H126:I126"/>
    <mergeCell ref="C119:D119"/>
    <mergeCell ref="C130:D130"/>
    <mergeCell ref="C131:D131"/>
    <mergeCell ref="C125:D125"/>
    <mergeCell ref="C126:D126"/>
    <mergeCell ref="C127:D127"/>
    <mergeCell ref="B138:E138"/>
    <mergeCell ref="B139:E139"/>
    <mergeCell ref="C129:D129"/>
    <mergeCell ref="C120:D120"/>
    <mergeCell ref="C122:D122"/>
    <mergeCell ref="C123:D123"/>
    <mergeCell ref="C124:D124"/>
    <mergeCell ref="C146:D146"/>
    <mergeCell ref="F110:I110"/>
    <mergeCell ref="F111:I111"/>
    <mergeCell ref="F112:I112"/>
    <mergeCell ref="F113:I113"/>
    <mergeCell ref="B110:E110"/>
    <mergeCell ref="B111:E111"/>
    <mergeCell ref="B112:E112"/>
    <mergeCell ref="B113:E113"/>
    <mergeCell ref="C116:E116"/>
    <mergeCell ref="A114:I114"/>
    <mergeCell ref="H115:I116"/>
    <mergeCell ref="D64:E64"/>
    <mergeCell ref="F64:G64"/>
    <mergeCell ref="B65:C65"/>
    <mergeCell ref="D65:E65"/>
    <mergeCell ref="F65:G65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103" max="16383" man="1"/>
    <brk id="1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zoomScaleSheetLayoutView="125" workbookViewId="0">
      <selection sqref="A1:G1"/>
    </sheetView>
  </sheetViews>
  <sheetFormatPr baseColWidth="10" defaultColWidth="8.83203125" defaultRowHeight="14" x14ac:dyDescent="0.15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hidden="1" customWidth="1"/>
    <col min="9" max="9" width="26.6640625" style="2" hidden="1" customWidth="1"/>
    <col min="10" max="16384" width="8.83203125" style="2"/>
  </cols>
  <sheetData>
    <row r="1" spans="1:16" ht="33" customHeight="1" x14ac:dyDescent="0.2">
      <c r="A1" s="1187" t="s">
        <v>19</v>
      </c>
      <c r="B1" s="1188"/>
      <c r="C1" s="1188"/>
      <c r="D1" s="1188"/>
      <c r="E1" s="1188"/>
      <c r="F1" s="1188"/>
      <c r="G1" s="1189"/>
      <c r="H1" s="42"/>
    </row>
    <row r="2" spans="1:16" ht="32" customHeight="1" x14ac:dyDescent="0.2">
      <c r="A2" s="1198" t="s">
        <v>109</v>
      </c>
      <c r="B2" s="1199"/>
      <c r="C2" s="1199"/>
      <c r="D2" s="1199"/>
      <c r="E2" s="1199"/>
      <c r="F2" s="1199"/>
      <c r="G2" s="1200"/>
    </row>
    <row r="3" spans="1:16" ht="33" customHeight="1" thickBot="1" x14ac:dyDescent="0.25">
      <c r="A3" s="1314" t="str">
        <f>'Forside 1'!A6:I6</f>
        <v>Gældende fra 1. oktober 2018</v>
      </c>
      <c r="B3" s="1315"/>
      <c r="C3" s="1315"/>
      <c r="D3" s="1315"/>
      <c r="E3" s="1315"/>
      <c r="F3" s="1315"/>
      <c r="G3" s="1316"/>
    </row>
    <row r="4" spans="1:16" s="27" customFormat="1" ht="20" customHeight="1" thickBot="1" x14ac:dyDescent="0.25">
      <c r="A4" s="840"/>
      <c r="B4" s="840"/>
      <c r="C4" s="840"/>
      <c r="D4" s="840"/>
      <c r="E4" s="840"/>
      <c r="F4" s="840"/>
      <c r="G4" s="44"/>
      <c r="N4" s="1338"/>
      <c r="O4" s="1338"/>
      <c r="P4" s="1338"/>
    </row>
    <row r="5" spans="1:16" s="27" customFormat="1" ht="18" customHeight="1" x14ac:dyDescent="0.15">
      <c r="A5" s="1332" t="s">
        <v>110</v>
      </c>
      <c r="B5" s="1333"/>
      <c r="C5" s="1333"/>
      <c r="D5" s="1333"/>
      <c r="E5" s="1333"/>
      <c r="F5" s="1334"/>
      <c r="G5" s="89"/>
      <c r="N5" s="1339"/>
      <c r="O5" s="1339"/>
      <c r="P5" s="1339"/>
    </row>
    <row r="6" spans="1:16" ht="14" customHeight="1" x14ac:dyDescent="0.15">
      <c r="A6" s="1335"/>
      <c r="B6" s="1336"/>
      <c r="C6" s="1336"/>
      <c r="D6" s="1336"/>
      <c r="E6" s="1336"/>
      <c r="F6" s="1337"/>
      <c r="G6" s="89"/>
      <c r="N6" s="1340"/>
      <c r="O6" s="1340"/>
      <c r="P6" s="1340"/>
    </row>
    <row r="7" spans="1:16" ht="14" customHeight="1" thickBot="1" x14ac:dyDescent="0.2">
      <c r="A7" s="1178" t="s">
        <v>341</v>
      </c>
      <c r="B7" s="1179"/>
      <c r="C7" s="1179"/>
      <c r="D7" s="1179"/>
      <c r="E7" s="1179"/>
      <c r="F7" s="1180"/>
      <c r="G7" s="89"/>
      <c r="N7" s="651"/>
      <c r="O7" s="651"/>
      <c r="P7" s="651"/>
    </row>
    <row r="8" spans="1:16" customFormat="1" ht="15" customHeight="1" x14ac:dyDescent="0.2">
      <c r="A8" s="1328"/>
      <c r="B8" s="1329"/>
      <c r="C8" s="1321" t="s">
        <v>137</v>
      </c>
      <c r="D8" s="1322"/>
      <c r="E8" s="1321" t="s">
        <v>390</v>
      </c>
      <c r="F8" s="1322"/>
      <c r="G8" s="77"/>
      <c r="H8" s="38"/>
    </row>
    <row r="9" spans="1:16" customFormat="1" ht="15" customHeight="1" thickBot="1" x14ac:dyDescent="0.25">
      <c r="A9" s="1330"/>
      <c r="B9" s="1331"/>
      <c r="C9" s="1325">
        <v>40999</v>
      </c>
      <c r="D9" s="1326"/>
      <c r="E9" s="1327" t="str">
        <f>'Løntabel gældende fra'!D1</f>
        <v>01/10/2018</v>
      </c>
      <c r="F9" s="1326"/>
      <c r="G9" s="425"/>
      <c r="H9" s="38"/>
    </row>
    <row r="10" spans="1:16" customFormat="1" ht="24" customHeight="1" thickBot="1" x14ac:dyDescent="0.25">
      <c r="A10" s="1323" t="s">
        <v>118</v>
      </c>
      <c r="B10" s="1324"/>
      <c r="C10" s="1343" t="s">
        <v>349</v>
      </c>
      <c r="D10" s="1344"/>
      <c r="E10" s="1343" t="s">
        <v>349</v>
      </c>
      <c r="F10" s="1344"/>
      <c r="G10" s="425"/>
      <c r="H10" s="38"/>
    </row>
    <row r="11" spans="1:16" customFormat="1" ht="17" customHeight="1" x14ac:dyDescent="0.2">
      <c r="A11" s="1319" t="s">
        <v>119</v>
      </c>
      <c r="B11" s="1320"/>
      <c r="C11" s="116">
        <v>368295</v>
      </c>
      <c r="D11" s="117">
        <v>438154</v>
      </c>
      <c r="E11" s="116">
        <f>C11+C11*'Løntabel gældende fra'!$D$7%</f>
        <v>395906.81274000002</v>
      </c>
      <c r="F11" s="118">
        <f>D11+D11*'Løntabel gældende fra'!$D$7%</f>
        <v>471003.28168800002</v>
      </c>
      <c r="G11" s="59"/>
      <c r="H11" s="38"/>
    </row>
    <row r="12" spans="1:16" customFormat="1" ht="17" customHeight="1" x14ac:dyDescent="0.2">
      <c r="A12" s="1353" t="s">
        <v>120</v>
      </c>
      <c r="B12" s="1354"/>
      <c r="C12" s="119">
        <v>403683</v>
      </c>
      <c r="D12" s="110">
        <v>484027</v>
      </c>
      <c r="E12" s="120">
        <f>C12+C12*'Løntabel gældende fra'!$D$7%</f>
        <v>433947.92187600001</v>
      </c>
      <c r="F12" s="111">
        <f>D12+D12*'Løntabel gældende fra'!$D$7%</f>
        <v>520315.472244</v>
      </c>
      <c r="G12" s="59"/>
      <c r="H12" s="38"/>
    </row>
    <row r="13" spans="1:16" customFormat="1" ht="17" customHeight="1" thickBot="1" x14ac:dyDescent="0.25">
      <c r="A13" s="1317" t="s">
        <v>121</v>
      </c>
      <c r="B13" s="1318"/>
      <c r="C13" s="121">
        <v>439071</v>
      </c>
      <c r="D13" s="122">
        <v>528589</v>
      </c>
      <c r="E13" s="121">
        <f>C13+C13*'Løntabel gældende fra'!$D$7%</f>
        <v>471989.03101199999</v>
      </c>
      <c r="F13" s="123">
        <f>D13+D13*'Løntabel gældende fra'!$D$7%</f>
        <v>568218.37450799998</v>
      </c>
      <c r="G13" s="59"/>
      <c r="H13" s="38"/>
    </row>
    <row r="14" spans="1:16" s="63" customFormat="1" ht="26" customHeight="1" thickBot="1" x14ac:dyDescent="0.2">
      <c r="A14" s="88"/>
      <c r="B14" s="88"/>
      <c r="C14" s="88"/>
      <c r="D14" s="88"/>
      <c r="E14" s="88"/>
      <c r="F14" s="88"/>
      <c r="G14" s="88"/>
      <c r="H14" s="79"/>
    </row>
    <row r="15" spans="1:16" ht="18" customHeight="1" x14ac:dyDescent="0.15">
      <c r="A15" s="1108" t="s">
        <v>122</v>
      </c>
      <c r="B15" s="1109"/>
      <c r="C15" s="1109"/>
      <c r="D15" s="1109"/>
      <c r="E15" s="1109"/>
      <c r="F15" s="1110"/>
      <c r="G15" s="89"/>
      <c r="H15" s="27"/>
    </row>
    <row r="16" spans="1:16" ht="14" customHeight="1" x14ac:dyDescent="0.15">
      <c r="A16" s="1350"/>
      <c r="B16" s="1351"/>
      <c r="C16" s="1351"/>
      <c r="D16" s="1351"/>
      <c r="E16" s="1351"/>
      <c r="F16" s="1352"/>
      <c r="G16" s="89"/>
      <c r="H16" s="27"/>
    </row>
    <row r="17" spans="1:16" ht="14" customHeight="1" thickBot="1" x14ac:dyDescent="0.2">
      <c r="A17" s="1178" t="s">
        <v>341</v>
      </c>
      <c r="B17" s="1179"/>
      <c r="C17" s="1179"/>
      <c r="D17" s="1179"/>
      <c r="E17" s="1179"/>
      <c r="F17" s="1180"/>
      <c r="G17" s="89"/>
      <c r="N17" s="651"/>
      <c r="O17" s="651"/>
      <c r="P17" s="651"/>
    </row>
    <row r="18" spans="1:16" customFormat="1" ht="15" customHeight="1" x14ac:dyDescent="0.2">
      <c r="A18" s="1238"/>
      <c r="B18" s="1240"/>
      <c r="C18" s="1342" t="s">
        <v>137</v>
      </c>
      <c r="D18" s="1271"/>
      <c r="E18" s="1342" t="s">
        <v>390</v>
      </c>
      <c r="F18" s="1271"/>
      <c r="G18" s="77"/>
      <c r="H18" s="2" t="s">
        <v>135</v>
      </c>
      <c r="I18" s="2"/>
    </row>
    <row r="19" spans="1:16" customFormat="1" ht="15" customHeight="1" thickBot="1" x14ac:dyDescent="0.25">
      <c r="A19" s="1241"/>
      <c r="B19" s="1243"/>
      <c r="C19" s="1325">
        <v>40999</v>
      </c>
      <c r="D19" s="1326"/>
      <c r="E19" s="1327" t="str">
        <f>'Løntabel gældende fra'!D1</f>
        <v>01/10/2018</v>
      </c>
      <c r="F19" s="1326"/>
      <c r="G19" s="425"/>
      <c r="H19" s="38"/>
    </row>
    <row r="20" spans="1:16" customFormat="1" ht="24" customHeight="1" thickBot="1" x14ac:dyDescent="0.25">
      <c r="A20" s="244" t="s">
        <v>118</v>
      </c>
      <c r="B20" s="97" t="s">
        <v>123</v>
      </c>
      <c r="C20" s="1343" t="s">
        <v>349</v>
      </c>
      <c r="D20" s="1344"/>
      <c r="E20" s="1343" t="s">
        <v>349</v>
      </c>
      <c r="F20" s="1344"/>
      <c r="G20" s="425"/>
      <c r="H20" s="2"/>
      <c r="I20" s="2"/>
    </row>
    <row r="21" spans="1:16" customFormat="1" ht="17" customHeight="1" x14ac:dyDescent="0.2">
      <c r="A21" s="142" t="s">
        <v>124</v>
      </c>
      <c r="B21" s="143" t="s">
        <v>125</v>
      </c>
      <c r="C21" s="149">
        <f t="shared" ref="C21:D23" si="0">C11+H21</f>
        <v>403683</v>
      </c>
      <c r="D21" s="150">
        <f t="shared" si="0"/>
        <v>464367</v>
      </c>
      <c r="E21" s="146">
        <f>C21+C21*'Løntabel gældende fra'!$D$7%</f>
        <v>433947.92187600001</v>
      </c>
      <c r="F21" s="147">
        <f>D21+D21*'Løntabel gældende fra'!$D$7%</f>
        <v>499181.52272399998</v>
      </c>
      <c r="G21" s="59"/>
      <c r="H21" s="38">
        <v>35388</v>
      </c>
      <c r="I21">
        <v>26213</v>
      </c>
    </row>
    <row r="22" spans="1:16" customFormat="1" ht="17" customHeight="1" x14ac:dyDescent="0.2">
      <c r="A22" s="140" t="s">
        <v>120</v>
      </c>
      <c r="B22" s="141" t="s">
        <v>125</v>
      </c>
      <c r="C22" s="119">
        <f t="shared" si="0"/>
        <v>439071</v>
      </c>
      <c r="D22" s="148">
        <f t="shared" si="0"/>
        <v>510240</v>
      </c>
      <c r="E22" s="115">
        <f>C22+C22*'Løntabel gældende fra'!$D$7%</f>
        <v>471989.03101199999</v>
      </c>
      <c r="F22" s="111">
        <f>D22+D22*'Løntabel gældende fra'!$D$7%</f>
        <v>548493.71328000003</v>
      </c>
      <c r="G22" s="59"/>
      <c r="H22" s="38">
        <v>35388</v>
      </c>
      <c r="I22">
        <v>26213</v>
      </c>
    </row>
    <row r="23" spans="1:16" customFormat="1" ht="17" customHeight="1" x14ac:dyDescent="0.2">
      <c r="A23" s="91" t="s">
        <v>121</v>
      </c>
      <c r="B23" s="112" t="s">
        <v>125</v>
      </c>
      <c r="C23" s="149">
        <f t="shared" si="0"/>
        <v>474459</v>
      </c>
      <c r="D23" s="150">
        <f t="shared" si="0"/>
        <v>554802</v>
      </c>
      <c r="E23" s="151">
        <f>C23+C23*'Løntabel gældende fra'!$D$7%</f>
        <v>510030.14014799998</v>
      </c>
      <c r="F23" s="152">
        <f>D23+D23*'Løntabel gældende fra'!$D$7%</f>
        <v>596396.61554399994</v>
      </c>
      <c r="G23" s="59"/>
      <c r="H23" s="38">
        <v>35388</v>
      </c>
      <c r="I23">
        <v>26213</v>
      </c>
    </row>
    <row r="24" spans="1:16" s="63" customFormat="1" ht="17" customHeight="1" x14ac:dyDescent="0.2">
      <c r="A24" s="92" t="s">
        <v>126</v>
      </c>
      <c r="B24" s="113" t="s">
        <v>127</v>
      </c>
      <c r="C24" s="120">
        <f t="shared" ref="C24:D26" si="1">C11+H24</f>
        <v>420721</v>
      </c>
      <c r="D24" s="111">
        <f t="shared" si="1"/>
        <v>481406</v>
      </c>
      <c r="E24" s="115">
        <f>C24+C24*'Løntabel gældende fra'!$D$7%</f>
        <v>452263.29481200001</v>
      </c>
      <c r="F24" s="111">
        <f>D24+D24*'Løntabel gældende fra'!$D$7%</f>
        <v>517497.97063200001</v>
      </c>
      <c r="G24" s="73"/>
      <c r="H24">
        <v>52426</v>
      </c>
      <c r="I24">
        <v>43252</v>
      </c>
    </row>
    <row r="25" spans="1:16" s="63" customFormat="1" ht="17" customHeight="1" x14ac:dyDescent="0.2">
      <c r="A25" s="92" t="s">
        <v>120</v>
      </c>
      <c r="B25" s="113" t="s">
        <v>127</v>
      </c>
      <c r="C25" s="149">
        <f t="shared" si="1"/>
        <v>456109</v>
      </c>
      <c r="D25" s="150">
        <f t="shared" si="1"/>
        <v>527279</v>
      </c>
      <c r="E25" s="153">
        <f>C25+C25*'Løntabel gældende fra'!$D$7%</f>
        <v>490304.40394799999</v>
      </c>
      <c r="F25" s="150">
        <f>D25+D25*'Løntabel gældende fra'!$D$7%</f>
        <v>566810.161188</v>
      </c>
      <c r="G25" s="73"/>
      <c r="H25">
        <v>52426</v>
      </c>
      <c r="I25">
        <v>43252</v>
      </c>
    </row>
    <row r="26" spans="1:16" s="63" customFormat="1" ht="17" customHeight="1" x14ac:dyDescent="0.2">
      <c r="A26" s="92" t="s">
        <v>121</v>
      </c>
      <c r="B26" s="113" t="s">
        <v>127</v>
      </c>
      <c r="C26" s="120">
        <f t="shared" si="1"/>
        <v>491497</v>
      </c>
      <c r="D26" s="111">
        <f t="shared" si="1"/>
        <v>571841</v>
      </c>
      <c r="E26" s="115">
        <f>C26+C26*'Løntabel gældende fra'!$D$7%</f>
        <v>528345.51308399998</v>
      </c>
      <c r="F26" s="111">
        <f>D26+D26*'Løntabel gældende fra'!$D$7%</f>
        <v>614713.06345200003</v>
      </c>
      <c r="G26" s="73"/>
      <c r="H26">
        <v>52426</v>
      </c>
      <c r="I26">
        <v>43252</v>
      </c>
    </row>
    <row r="27" spans="1:16" s="63" customFormat="1" ht="17" customHeight="1" x14ac:dyDescent="0.2">
      <c r="A27" s="92" t="s">
        <v>126</v>
      </c>
      <c r="B27" s="113" t="s">
        <v>128</v>
      </c>
      <c r="C27" s="120">
        <f t="shared" ref="C27:D29" si="2">C11+H27</f>
        <v>439071</v>
      </c>
      <c r="D27" s="111">
        <f t="shared" si="2"/>
        <v>499755</v>
      </c>
      <c r="E27" s="146">
        <f>C27+C27*'Løntabel gældende fra'!$D$7%</f>
        <v>471989.03101199999</v>
      </c>
      <c r="F27" s="147">
        <f>D27+D27*'Løntabel gældende fra'!$D$7%</f>
        <v>537222.63185999996</v>
      </c>
      <c r="G27" s="73"/>
      <c r="H27" s="63">
        <v>70776</v>
      </c>
      <c r="I27" s="63">
        <v>61601</v>
      </c>
    </row>
    <row r="28" spans="1:16" s="63" customFormat="1" ht="17" customHeight="1" x14ac:dyDescent="0.2">
      <c r="A28" s="92" t="s">
        <v>120</v>
      </c>
      <c r="B28" s="113" t="s">
        <v>128</v>
      </c>
      <c r="C28" s="120">
        <f t="shared" si="2"/>
        <v>474459</v>
      </c>
      <c r="D28" s="111">
        <f t="shared" si="2"/>
        <v>545628</v>
      </c>
      <c r="E28" s="115">
        <f>C28+C28*'Løntabel gældende fra'!$D$7%</f>
        <v>510030.14014799998</v>
      </c>
      <c r="F28" s="111">
        <f>D28+D28*'Løntabel gældende fra'!$D$7%</f>
        <v>586534.82241599995</v>
      </c>
      <c r="G28" s="73"/>
      <c r="H28" s="63">
        <v>70776</v>
      </c>
      <c r="I28" s="63">
        <v>61601</v>
      </c>
    </row>
    <row r="29" spans="1:16" s="63" customFormat="1" ht="17" customHeight="1" thickBot="1" x14ac:dyDescent="0.25">
      <c r="A29" s="93" t="s">
        <v>121</v>
      </c>
      <c r="B29" s="114" t="s">
        <v>128</v>
      </c>
      <c r="C29" s="121">
        <f t="shared" si="2"/>
        <v>509847</v>
      </c>
      <c r="D29" s="123">
        <f t="shared" si="2"/>
        <v>590190</v>
      </c>
      <c r="E29" s="122">
        <f>C29+C29*'Løntabel gældende fra'!$D$7%</f>
        <v>548071.24928400002</v>
      </c>
      <c r="F29" s="123">
        <f>D29+D29*'Løntabel gældende fra'!$D$7%</f>
        <v>634437.72467999998</v>
      </c>
      <c r="G29" s="73"/>
      <c r="H29" s="63">
        <v>70776</v>
      </c>
      <c r="I29" s="63">
        <v>61601</v>
      </c>
    </row>
    <row r="30" spans="1:16" s="63" customFormat="1" ht="27" customHeight="1" thickBot="1" x14ac:dyDescent="0.25">
      <c r="A30" s="73"/>
      <c r="B30" s="73"/>
      <c r="C30" s="73"/>
      <c r="D30" s="73"/>
      <c r="E30" s="73"/>
      <c r="F30" s="73"/>
      <c r="G30" s="73"/>
    </row>
    <row r="31" spans="1:16" ht="24" customHeight="1" x14ac:dyDescent="0.15">
      <c r="A31" s="1275" t="s">
        <v>138</v>
      </c>
      <c r="B31" s="1276"/>
      <c r="C31" s="1276"/>
      <c r="D31" s="1276"/>
      <c r="E31" s="1276"/>
      <c r="F31" s="1277"/>
      <c r="G31" s="89"/>
      <c r="N31" s="1339"/>
      <c r="O31" s="1339"/>
      <c r="P31" s="1339"/>
    </row>
    <row r="32" spans="1:16" ht="23" customHeight="1" x14ac:dyDescent="0.15">
      <c r="A32" s="1347"/>
      <c r="B32" s="1348"/>
      <c r="C32" s="1348"/>
      <c r="D32" s="1348"/>
      <c r="E32" s="1348"/>
      <c r="F32" s="1349"/>
      <c r="G32" s="89"/>
      <c r="N32" s="1340"/>
      <c r="O32" s="1340"/>
      <c r="P32" s="1340"/>
    </row>
    <row r="33" spans="1:17" ht="14" customHeight="1" thickBot="1" x14ac:dyDescent="0.2">
      <c r="A33" s="1178" t="s">
        <v>341</v>
      </c>
      <c r="B33" s="1179"/>
      <c r="C33" s="1179"/>
      <c r="D33" s="1179"/>
      <c r="E33" s="1179"/>
      <c r="F33" s="1180"/>
      <c r="G33" s="89"/>
      <c r="N33" s="651"/>
      <c r="O33" s="651"/>
      <c r="P33" s="651"/>
    </row>
    <row r="34" spans="1:17" customFormat="1" ht="15" customHeight="1" x14ac:dyDescent="0.2">
      <c r="A34" s="1238"/>
      <c r="B34" s="1240"/>
      <c r="C34" s="1342" t="s">
        <v>137</v>
      </c>
      <c r="D34" s="1271"/>
      <c r="E34" s="1342" t="s">
        <v>390</v>
      </c>
      <c r="F34" s="1271"/>
      <c r="G34" s="77"/>
      <c r="H34" s="38"/>
    </row>
    <row r="35" spans="1:17" customFormat="1" ht="15" customHeight="1" thickBot="1" x14ac:dyDescent="0.25">
      <c r="A35" s="1241"/>
      <c r="B35" s="1243"/>
      <c r="C35" s="1325">
        <v>40999</v>
      </c>
      <c r="D35" s="1326"/>
      <c r="E35" s="1327" t="str">
        <f>'Løntabel gældende fra'!D1</f>
        <v>01/10/2018</v>
      </c>
      <c r="F35" s="1326"/>
      <c r="G35" s="425"/>
      <c r="H35" s="38"/>
    </row>
    <row r="36" spans="1:17" customFormat="1" ht="24" customHeight="1" thickBot="1" x14ac:dyDescent="0.25">
      <c r="A36" s="496"/>
      <c r="B36" s="508" t="s">
        <v>118</v>
      </c>
      <c r="C36" s="1292" t="s">
        <v>349</v>
      </c>
      <c r="D36" s="1293"/>
      <c r="E36" s="1343" t="s">
        <v>349</v>
      </c>
      <c r="F36" s="1344"/>
      <c r="G36" s="425"/>
      <c r="H36" s="38"/>
    </row>
    <row r="37" spans="1:17" customFormat="1" ht="24" customHeight="1" x14ac:dyDescent="0.2">
      <c r="A37" s="1345" t="s">
        <v>458</v>
      </c>
      <c r="B37" s="655" t="s">
        <v>129</v>
      </c>
      <c r="C37" s="116">
        <v>368295</v>
      </c>
      <c r="D37" s="117">
        <v>438154</v>
      </c>
      <c r="E37" s="116">
        <f>C37+C37*'Løntabel gældende fra'!$D$7%</f>
        <v>395906.81274000002</v>
      </c>
      <c r="F37" s="118">
        <f>D37+D37*'Løntabel gældende fra'!$D$7%</f>
        <v>471003.28168800002</v>
      </c>
      <c r="G37" s="59"/>
      <c r="H37" s="38"/>
    </row>
    <row r="38" spans="1:17" customFormat="1" ht="22" customHeight="1" thickBot="1" x14ac:dyDescent="0.25">
      <c r="A38" s="1346"/>
      <c r="B38" s="105" t="s">
        <v>121</v>
      </c>
      <c r="C38" s="119">
        <v>394509</v>
      </c>
      <c r="D38" s="110">
        <v>457814</v>
      </c>
      <c r="E38" s="120">
        <f>C38+C38*'Løntabel gældende fra'!$D$7%</f>
        <v>424086.12874800002</v>
      </c>
      <c r="F38" s="111">
        <f>D38+D38*'Løntabel gældende fra'!$D$7%</f>
        <v>492137.23120799998</v>
      </c>
      <c r="G38" s="59"/>
      <c r="H38" s="38"/>
    </row>
    <row r="39" spans="1:17" s="63" customFormat="1" ht="31" customHeight="1" thickBot="1" x14ac:dyDescent="0.25">
      <c r="A39" s="1294" t="s">
        <v>139</v>
      </c>
      <c r="B39" s="1295"/>
      <c r="C39" s="120">
        <v>368295</v>
      </c>
      <c r="D39" s="115">
        <v>484027</v>
      </c>
      <c r="E39" s="120">
        <f>C39+C39*'Løntabel gældende fra'!$D$7%</f>
        <v>395906.81274000002</v>
      </c>
      <c r="F39" s="111">
        <f>D39+D39*'Løntabel gældende fra'!$D$7%</f>
        <v>520315.472244</v>
      </c>
      <c r="G39" s="73"/>
    </row>
    <row r="40" spans="1:17" s="63" customFormat="1" ht="21" thickBot="1" x14ac:dyDescent="0.25">
      <c r="A40" s="1296" t="s">
        <v>130</v>
      </c>
      <c r="B40" s="1297"/>
      <c r="C40" s="120">
        <v>351257</v>
      </c>
      <c r="D40" s="115">
        <v>438154</v>
      </c>
      <c r="E40" s="120">
        <f>C40+C40*'Løntabel gældende fra'!$D$7%</f>
        <v>377591.43980400002</v>
      </c>
      <c r="F40" s="111">
        <f>D40+D40*'Løntabel gældende fra'!$D$7%</f>
        <v>471003.28168800002</v>
      </c>
      <c r="G40" s="73"/>
      <c r="H40" s="73"/>
      <c r="I40" s="73"/>
      <c r="J40" s="73"/>
      <c r="K40" s="73"/>
    </row>
    <row r="41" spans="1:17" s="63" customFormat="1" ht="32" customHeight="1" thickBot="1" x14ac:dyDescent="0.25">
      <c r="A41" s="1294" t="s">
        <v>350</v>
      </c>
      <c r="B41" s="1295"/>
      <c r="C41" s="121">
        <v>351257</v>
      </c>
      <c r="D41" s="122">
        <v>466988</v>
      </c>
      <c r="E41" s="121">
        <f>C41+C41*'Løntabel gældende fra'!$D$7%</f>
        <v>377591.43980400002</v>
      </c>
      <c r="F41" s="123">
        <f>D41+D41*'Løntabel gældende fra'!$D$7%</f>
        <v>501999.02433599997</v>
      </c>
      <c r="G41" s="73"/>
      <c r="H41" s="73"/>
      <c r="I41" s="73"/>
      <c r="J41" s="73"/>
      <c r="K41" s="73"/>
    </row>
    <row r="42" spans="1:17" s="63" customFormat="1" ht="23" customHeight="1" thickBot="1" x14ac:dyDescent="0.25">
      <c r="A42" s="1285"/>
      <c r="B42" s="1285"/>
      <c r="C42" s="1285"/>
      <c r="D42" s="1285"/>
      <c r="E42" s="1285"/>
      <c r="F42" s="138"/>
      <c r="G42" s="73"/>
      <c r="H42" s="73"/>
      <c r="I42" s="73"/>
      <c r="J42" s="73"/>
      <c r="K42" s="73"/>
    </row>
    <row r="43" spans="1:17" s="63" customFormat="1" ht="23" customHeight="1" x14ac:dyDescent="0.2">
      <c r="A43" s="1286" t="s">
        <v>344</v>
      </c>
      <c r="B43" s="1287"/>
      <c r="C43" s="1287"/>
      <c r="D43" s="1287"/>
      <c r="E43" s="1287"/>
      <c r="F43" s="1288"/>
      <c r="G43" s="73"/>
      <c r="H43" s="73"/>
      <c r="I43" s="73"/>
      <c r="J43" s="73"/>
      <c r="K43" s="73"/>
      <c r="L43" s="4"/>
      <c r="M43" s="4"/>
      <c r="N43" s="4"/>
      <c r="O43" s="4"/>
      <c r="P43" s="4"/>
      <c r="Q43" s="4"/>
    </row>
    <row r="44" spans="1:17" ht="14" customHeight="1" thickBot="1" x14ac:dyDescent="0.2">
      <c r="A44" s="1178" t="s">
        <v>341</v>
      </c>
      <c r="B44" s="1179"/>
      <c r="C44" s="1179"/>
      <c r="D44" s="1179"/>
      <c r="E44" s="1179"/>
      <c r="F44" s="1180"/>
      <c r="G44" s="89"/>
      <c r="N44" s="651"/>
      <c r="O44" s="651"/>
      <c r="P44" s="651"/>
    </row>
    <row r="45" spans="1:17" s="63" customFormat="1" ht="30" customHeight="1" x14ac:dyDescent="0.2">
      <c r="A45" s="1289" t="s">
        <v>321</v>
      </c>
      <c r="B45" s="1290"/>
      <c r="C45" s="1291"/>
      <c r="D45" s="790" t="s">
        <v>137</v>
      </c>
      <c r="E45" s="506" t="s">
        <v>102</v>
      </c>
      <c r="F45" s="833" t="s">
        <v>301</v>
      </c>
      <c r="G45" s="73"/>
      <c r="H45" s="73"/>
      <c r="I45" s="73"/>
      <c r="J45" s="73"/>
      <c r="K45" s="73"/>
      <c r="L45" s="4"/>
      <c r="M45" s="4"/>
      <c r="N45" s="4"/>
      <c r="O45" s="4"/>
      <c r="P45" s="4"/>
      <c r="Q45" s="4"/>
    </row>
    <row r="46" spans="1:17" s="63" customFormat="1" ht="15" customHeight="1" thickBot="1" x14ac:dyDescent="0.25">
      <c r="A46" s="1221"/>
      <c r="B46" s="1222"/>
      <c r="C46" s="1223"/>
      <c r="D46" s="507">
        <v>40999</v>
      </c>
      <c r="E46" s="507">
        <v>40999</v>
      </c>
      <c r="F46" s="390" t="str">
        <f>'Løntabel gældende fra'!$D$1</f>
        <v>01/10/2018</v>
      </c>
      <c r="G46" s="73"/>
      <c r="H46" s="73"/>
      <c r="I46" s="73"/>
      <c r="J46" s="73"/>
      <c r="K46" s="73"/>
      <c r="L46" s="4"/>
      <c r="M46" s="4"/>
      <c r="N46" s="4"/>
      <c r="O46" s="4"/>
      <c r="P46" s="4"/>
      <c r="Q46" s="4"/>
    </row>
    <row r="47" spans="1:17" s="63" customFormat="1" ht="18" customHeight="1" thickBot="1" x14ac:dyDescent="0.25">
      <c r="A47" s="1224"/>
      <c r="B47" s="1225"/>
      <c r="C47" s="1226"/>
      <c r="D47" s="238">
        <v>19300</v>
      </c>
      <c r="E47" s="238">
        <f>'Lærere og bh kl ledere'!G71/12</f>
        <v>1608.3333333333333</v>
      </c>
      <c r="F47" s="188">
        <f>E47+(E47*'Løntabel gældende fra'!$D$7%)</f>
        <v>1728.9132999999999</v>
      </c>
      <c r="G47" s="73"/>
      <c r="H47" s="73"/>
      <c r="I47" s="73"/>
      <c r="J47" s="73"/>
      <c r="K47" s="73"/>
      <c r="L47" s="4"/>
      <c r="M47" s="4"/>
      <c r="N47" s="4"/>
      <c r="O47" s="4"/>
      <c r="P47" s="4"/>
      <c r="Q47" s="4"/>
    </row>
    <row r="48" spans="1:17" s="63" customFormat="1" ht="21" thickBot="1" x14ac:dyDescent="0.25">
      <c r="A48" s="837"/>
      <c r="B48" s="838"/>
      <c r="C48" s="837"/>
      <c r="D48" s="839"/>
      <c r="E48" s="839"/>
      <c r="F48" s="839"/>
      <c r="G48" s="73"/>
      <c r="H48" s="73"/>
      <c r="I48" s="73"/>
      <c r="J48" s="73"/>
      <c r="K48" s="73"/>
    </row>
    <row r="49" spans="1:11" s="63" customFormat="1" ht="54" customHeight="1" thickBot="1" x14ac:dyDescent="0.25">
      <c r="A49" s="1298" t="s">
        <v>331</v>
      </c>
      <c r="B49" s="1299"/>
      <c r="C49" s="1299"/>
      <c r="D49" s="1299"/>
      <c r="E49" s="1299"/>
      <c r="F49" s="1299"/>
      <c r="G49" s="1300"/>
      <c r="H49" s="73"/>
      <c r="I49" s="73"/>
      <c r="J49" s="73"/>
      <c r="K49" s="73"/>
    </row>
    <row r="50" spans="1:11" s="63" customFormat="1" ht="34" customHeight="1" thickBot="1" x14ac:dyDescent="0.25">
      <c r="A50" s="817" t="s">
        <v>332</v>
      </c>
      <c r="B50" s="1301" t="s">
        <v>333</v>
      </c>
      <c r="C50" s="1302"/>
      <c r="D50" s="1302"/>
      <c r="E50" s="1302"/>
      <c r="F50" s="1302"/>
      <c r="G50" s="1303"/>
      <c r="H50" s="73"/>
      <c r="I50" s="73"/>
      <c r="J50" s="73"/>
      <c r="K50" s="73"/>
    </row>
    <row r="51" spans="1:11" s="63" customFormat="1" ht="20" x14ac:dyDescent="0.2">
      <c r="A51" s="1304" t="s">
        <v>351</v>
      </c>
      <c r="B51" s="1308" t="s">
        <v>334</v>
      </c>
      <c r="C51" s="1309"/>
      <c r="D51" s="1310"/>
      <c r="E51" s="815" t="s">
        <v>137</v>
      </c>
      <c r="F51" s="816" t="s">
        <v>390</v>
      </c>
      <c r="G51" s="665"/>
      <c r="H51" s="73"/>
      <c r="I51" s="73"/>
      <c r="J51" s="73"/>
      <c r="K51" s="73"/>
    </row>
    <row r="52" spans="1:11" s="63" customFormat="1" ht="28" customHeight="1" thickBot="1" x14ac:dyDescent="0.25">
      <c r="A52" s="1305"/>
      <c r="B52" s="1311"/>
      <c r="C52" s="1312"/>
      <c r="D52" s="1313"/>
      <c r="E52" s="399">
        <v>40999</v>
      </c>
      <c r="F52" s="393" t="str">
        <f>'Løntabel gældende fra'!$D$1</f>
        <v>01/10/2018</v>
      </c>
      <c r="G52" s="666"/>
      <c r="H52" s="73"/>
      <c r="I52" s="73"/>
      <c r="J52" s="73"/>
      <c r="K52" s="73"/>
    </row>
    <row r="53" spans="1:11" s="63" customFormat="1" ht="20" x14ac:dyDescent="0.2">
      <c r="A53" s="1306"/>
      <c r="B53" s="836" t="s">
        <v>353</v>
      </c>
      <c r="C53" s="669"/>
      <c r="D53" s="673"/>
      <c r="E53" s="675">
        <v>98300</v>
      </c>
      <c r="F53" s="676">
        <f>E53+E53*'Løntabel gældende fra'!$D$7%</f>
        <v>105669.7476</v>
      </c>
      <c r="G53" s="667"/>
      <c r="H53" s="73"/>
      <c r="I53" s="73"/>
      <c r="J53" s="73"/>
      <c r="K53" s="73"/>
    </row>
    <row r="54" spans="1:11" s="63" customFormat="1" ht="21" thickBot="1" x14ac:dyDescent="0.25">
      <c r="A54" s="1307"/>
      <c r="B54" s="670" t="s">
        <v>352</v>
      </c>
      <c r="C54" s="671"/>
      <c r="D54" s="674"/>
      <c r="E54" s="672">
        <v>124500</v>
      </c>
      <c r="F54" s="677">
        <f>E54+E54*'Løntabel gældende fra'!$D$7%</f>
        <v>133834.014</v>
      </c>
      <c r="G54" s="668"/>
      <c r="H54" s="73"/>
      <c r="I54" s="73"/>
      <c r="J54" s="73"/>
      <c r="K54" s="73"/>
    </row>
    <row r="55" spans="1:11" s="63" customFormat="1" ht="21" thickBot="1" x14ac:dyDescent="0.25">
      <c r="B55" s="82"/>
      <c r="D55" s="137"/>
      <c r="E55" s="137"/>
      <c r="F55" s="137"/>
      <c r="G55" s="73"/>
      <c r="H55" s="73"/>
      <c r="I55" s="73"/>
      <c r="J55" s="73"/>
      <c r="K55" s="73"/>
    </row>
    <row r="56" spans="1:11" ht="42" customHeight="1" x14ac:dyDescent="0.2">
      <c r="A56" s="1275" t="s">
        <v>140</v>
      </c>
      <c r="B56" s="1276"/>
      <c r="C56" s="1276"/>
      <c r="D56" s="1276"/>
      <c r="E56" s="1276"/>
      <c r="F56" s="1276"/>
      <c r="G56" s="1277"/>
      <c r="H56" s="86"/>
    </row>
    <row r="57" spans="1:11" ht="26" customHeight="1" thickBot="1" x14ac:dyDescent="0.25">
      <c r="A57" s="1278" t="str">
        <f>'Løntabel gældende fra'!$D$1</f>
        <v>01/10/2018</v>
      </c>
      <c r="B57" s="1279"/>
      <c r="C57" s="1279"/>
      <c r="D57" s="1279"/>
      <c r="E57" s="1279"/>
      <c r="F57" s="1279"/>
      <c r="G57" s="1280"/>
      <c r="H57" s="87"/>
    </row>
    <row r="58" spans="1:11" s="79" customFormat="1" ht="32" customHeight="1" x14ac:dyDescent="0.2">
      <c r="A58" s="1281" t="s">
        <v>131</v>
      </c>
      <c r="B58" s="1281"/>
      <c r="C58" s="1281"/>
      <c r="D58" s="1281"/>
      <c r="E58" s="1281"/>
      <c r="F58" s="1281"/>
      <c r="G58" s="1281"/>
      <c r="H58" s="87"/>
    </row>
    <row r="59" spans="1:11" s="79" customFormat="1" ht="12" customHeight="1" x14ac:dyDescent="0.2">
      <c r="A59" s="94"/>
      <c r="B59" s="94"/>
      <c r="C59" s="94"/>
      <c r="D59" s="94"/>
      <c r="E59" s="94"/>
      <c r="F59" s="94"/>
      <c r="G59" s="94"/>
      <c r="H59" s="87"/>
    </row>
    <row r="60" spans="1:11" s="79" customFormat="1" ht="14" customHeight="1" x14ac:dyDescent="0.2">
      <c r="A60" s="1283" t="s">
        <v>132</v>
      </c>
      <c r="B60" s="1282" t="s">
        <v>504</v>
      </c>
      <c r="C60" s="1282"/>
      <c r="D60" s="1282"/>
      <c r="E60" s="1282"/>
      <c r="F60" s="1282"/>
      <c r="G60" s="1282"/>
      <c r="H60" s="87"/>
    </row>
    <row r="61" spans="1:11" s="79" customFormat="1" ht="14" customHeight="1" x14ac:dyDescent="0.2">
      <c r="A61" s="1283"/>
      <c r="B61" s="90" t="s">
        <v>506</v>
      </c>
      <c r="C61" s="95"/>
      <c r="D61" s="95"/>
      <c r="E61" s="95"/>
      <c r="F61" s="95"/>
      <c r="G61" s="95"/>
      <c r="H61" s="87"/>
    </row>
    <row r="62" spans="1:11" s="79" customFormat="1" ht="14" customHeight="1" x14ac:dyDescent="0.2">
      <c r="A62" s="1283"/>
      <c r="B62" s="1282" t="s">
        <v>505</v>
      </c>
      <c r="C62" s="1282"/>
      <c r="D62" s="1282"/>
      <c r="E62" s="1282"/>
      <c r="F62" s="1282"/>
      <c r="G62" s="1282"/>
      <c r="H62" s="87"/>
    </row>
    <row r="63" spans="1:11" s="79" customFormat="1" ht="14" customHeight="1" x14ac:dyDescent="0.2">
      <c r="A63" s="96"/>
      <c r="B63" s="1282"/>
      <c r="C63" s="1282"/>
      <c r="D63" s="1282"/>
      <c r="E63" s="1282"/>
      <c r="F63" s="1282"/>
      <c r="G63" s="1282"/>
      <c r="H63" s="87"/>
    </row>
    <row r="64" spans="1:11" s="79" customFormat="1" ht="14" customHeight="1" x14ac:dyDescent="0.2">
      <c r="A64" s="642"/>
      <c r="B64" s="641"/>
      <c r="C64" s="641"/>
      <c r="D64" s="641"/>
      <c r="E64" s="641"/>
      <c r="F64" s="641"/>
      <c r="G64" s="641"/>
      <c r="H64" s="87"/>
    </row>
    <row r="65" spans="1:8" s="79" customFormat="1" ht="14" customHeight="1" x14ac:dyDescent="0.2">
      <c r="A65" s="1283" t="s">
        <v>133</v>
      </c>
      <c r="B65" s="1282" t="s">
        <v>491</v>
      </c>
      <c r="C65" s="1282"/>
      <c r="D65" s="1282"/>
      <c r="E65" s="1282"/>
      <c r="F65" s="1282"/>
      <c r="G65" s="1282"/>
      <c r="H65" s="87"/>
    </row>
    <row r="66" spans="1:8" s="79" customFormat="1" ht="14" customHeight="1" x14ac:dyDescent="0.2">
      <c r="A66" s="1283"/>
      <c r="B66" s="90" t="s">
        <v>507</v>
      </c>
      <c r="C66" s="95"/>
      <c r="D66" s="95"/>
      <c r="E66" s="95"/>
      <c r="F66" s="95"/>
      <c r="G66" s="95"/>
      <c r="H66" s="87"/>
    </row>
    <row r="67" spans="1:8" s="79" customFormat="1" ht="14" customHeight="1" x14ac:dyDescent="0.2">
      <c r="A67" s="1283"/>
      <c r="B67" s="1282" t="s">
        <v>508</v>
      </c>
      <c r="C67" s="1282"/>
      <c r="D67" s="1282"/>
      <c r="E67" s="1282"/>
      <c r="F67" s="1282"/>
      <c r="G67" s="1282"/>
      <c r="H67" s="87"/>
    </row>
    <row r="68" spans="1:8" s="79" customFormat="1" ht="14" customHeight="1" x14ac:dyDescent="0.2">
      <c r="A68" s="642"/>
      <c r="B68" s="1282"/>
      <c r="C68" s="1282"/>
      <c r="D68" s="1282"/>
      <c r="E68" s="1282"/>
      <c r="F68" s="1282"/>
      <c r="G68" s="1282"/>
      <c r="H68" s="87"/>
    </row>
    <row r="69" spans="1:8" s="79" customFormat="1" ht="12" customHeight="1" thickBot="1" x14ac:dyDescent="0.25">
      <c r="A69" s="73"/>
      <c r="B69" s="73"/>
      <c r="C69" s="73"/>
      <c r="D69" s="73"/>
      <c r="E69" s="73"/>
      <c r="F69" s="73"/>
      <c r="G69" s="73"/>
      <c r="H69" s="87"/>
    </row>
    <row r="70" spans="1:8" ht="18" customHeight="1" x14ac:dyDescent="0.15">
      <c r="A70" s="1129" t="s">
        <v>57</v>
      </c>
      <c r="B70" s="1121" t="s">
        <v>23</v>
      </c>
      <c r="C70" s="1190"/>
      <c r="D70" s="1121" t="s">
        <v>24</v>
      </c>
      <c r="E70" s="1190"/>
      <c r="F70" s="803" t="s">
        <v>394</v>
      </c>
      <c r="G70" s="1129" t="s">
        <v>96</v>
      </c>
    </row>
    <row r="71" spans="1:8" ht="18" customHeight="1" thickBot="1" x14ac:dyDescent="0.2">
      <c r="A71" s="1125"/>
      <c r="B71" s="806">
        <v>40999</v>
      </c>
      <c r="C71" s="807"/>
      <c r="D71" s="1095" t="str">
        <f>'Løntabel gældende fra'!$D$1</f>
        <v>01/10/2018</v>
      </c>
      <c r="E71" s="1284"/>
      <c r="F71" s="804" t="str">
        <f>'Løntabel gældende fra'!$D$1</f>
        <v>01/10/2018</v>
      </c>
      <c r="G71" s="1125"/>
    </row>
    <row r="72" spans="1:8" ht="19" customHeight="1" thickBot="1" x14ac:dyDescent="0.2">
      <c r="A72" s="1125"/>
      <c r="B72" s="808" t="s">
        <v>87</v>
      </c>
      <c r="C72" s="805" t="s">
        <v>173</v>
      </c>
      <c r="D72" s="389" t="s">
        <v>87</v>
      </c>
      <c r="E72" s="482" t="s">
        <v>173</v>
      </c>
      <c r="F72" s="482" t="s">
        <v>173</v>
      </c>
      <c r="G72" s="394">
        <v>0.15</v>
      </c>
    </row>
    <row r="73" spans="1:8" ht="14" customHeight="1" x14ac:dyDescent="0.15">
      <c r="A73" s="427">
        <v>31</v>
      </c>
      <c r="B73" s="497">
        <f>+'Statens skalatrin'!N96</f>
        <v>290512.64000000001</v>
      </c>
      <c r="C73" s="499">
        <f>B73/12</f>
        <v>24209.386666666669</v>
      </c>
      <c r="D73" s="498">
        <f>ROUND(B73*(1+'Løntabel gældende fra'!$D$7/100),0)</f>
        <v>312293</v>
      </c>
      <c r="E73" s="830">
        <f>D73/12</f>
        <v>26024.416666666668</v>
      </c>
      <c r="F73" s="497">
        <f>E73*15%</f>
        <v>3903.6624999999999</v>
      </c>
      <c r="G73" s="499">
        <f>F73*$G$72</f>
        <v>585.54937499999994</v>
      </c>
      <c r="H73" s="51"/>
    </row>
    <row r="74" spans="1:8" x14ac:dyDescent="0.15">
      <c r="A74" s="492">
        <v>32</v>
      </c>
      <c r="B74" s="211">
        <f>+'Statens skalatrin'!N99</f>
        <v>296125.21000000002</v>
      </c>
      <c r="C74" s="809">
        <f t="shared" ref="C74:C92" si="3">B74/12</f>
        <v>24677.100833333334</v>
      </c>
      <c r="D74" s="811">
        <f>ROUND(B74*(1+'Løntabel gældende fra'!$D$7/100),0)</f>
        <v>318326</v>
      </c>
      <c r="E74" s="831">
        <f t="shared" ref="E74:E92" si="4">D74/12</f>
        <v>26527.166666666668</v>
      </c>
      <c r="F74" s="813">
        <f t="shared" ref="F74:F92" si="5">E74*15%</f>
        <v>3979.0749999999998</v>
      </c>
      <c r="G74" s="210">
        <f t="shared" ref="G74:G92" si="6">F74*$G$72</f>
        <v>596.86124999999993</v>
      </c>
    </row>
    <row r="75" spans="1:8" x14ac:dyDescent="0.15">
      <c r="A75" s="492">
        <v>33</v>
      </c>
      <c r="B75" s="211">
        <f>+'Statens skalatrin'!N102</f>
        <v>301881.8</v>
      </c>
      <c r="C75" s="809">
        <f t="shared" si="3"/>
        <v>25156.816666666666</v>
      </c>
      <c r="D75" s="811">
        <f>ROUND(B75*(1+'Løntabel gældende fra'!$D$7/100),0)</f>
        <v>324514</v>
      </c>
      <c r="E75" s="831">
        <f t="shared" si="4"/>
        <v>27042.833333333332</v>
      </c>
      <c r="F75" s="813">
        <f t="shared" si="5"/>
        <v>4056.4249999999997</v>
      </c>
      <c r="G75" s="210">
        <f t="shared" si="6"/>
        <v>608.46374999999989</v>
      </c>
    </row>
    <row r="76" spans="1:8" x14ac:dyDescent="0.15">
      <c r="A76" s="492">
        <v>34</v>
      </c>
      <c r="B76" s="211">
        <f>+'Statens skalatrin'!N105</f>
        <v>307790.62</v>
      </c>
      <c r="C76" s="809">
        <f t="shared" si="3"/>
        <v>25649.218333333334</v>
      </c>
      <c r="D76" s="811">
        <f>ROUND(B76*(1+'Løntabel gældende fra'!$D$7/100),0)</f>
        <v>330866</v>
      </c>
      <c r="E76" s="831">
        <f t="shared" si="4"/>
        <v>27572.166666666668</v>
      </c>
      <c r="F76" s="813">
        <f t="shared" si="5"/>
        <v>4135.8249999999998</v>
      </c>
      <c r="G76" s="210">
        <f t="shared" si="6"/>
        <v>620.37374999999997</v>
      </c>
    </row>
    <row r="77" spans="1:8" x14ac:dyDescent="0.15">
      <c r="A77" s="492">
        <v>35</v>
      </c>
      <c r="B77" s="211">
        <f>+'Statens skalatrin'!N108</f>
        <v>313854.56</v>
      </c>
      <c r="C77" s="809">
        <f t="shared" si="3"/>
        <v>26154.546666666665</v>
      </c>
      <c r="D77" s="811">
        <f>ROUND(B77*(1+'Løntabel gældende fra'!$D$7/100),0)</f>
        <v>337385</v>
      </c>
      <c r="E77" s="831">
        <f t="shared" si="4"/>
        <v>28115.416666666668</v>
      </c>
      <c r="F77" s="813">
        <f t="shared" si="5"/>
        <v>4217.3125</v>
      </c>
      <c r="G77" s="210">
        <f t="shared" si="6"/>
        <v>632.59687499999995</v>
      </c>
    </row>
    <row r="78" spans="1:8" x14ac:dyDescent="0.15">
      <c r="A78" s="492">
        <v>36</v>
      </c>
      <c r="B78" s="211">
        <f>+'Statens skalatrin'!N111</f>
        <v>320074.68</v>
      </c>
      <c r="C78" s="809">
        <f t="shared" si="3"/>
        <v>26672.89</v>
      </c>
      <c r="D78" s="811">
        <f>ROUND(B78*(1+'Løntabel gældende fra'!$D$7/100),0)</f>
        <v>344071</v>
      </c>
      <c r="E78" s="831">
        <f t="shared" si="4"/>
        <v>28672.583333333332</v>
      </c>
      <c r="F78" s="813">
        <f t="shared" si="5"/>
        <v>4300.8874999999998</v>
      </c>
      <c r="G78" s="210">
        <f t="shared" si="6"/>
        <v>645.13312499999995</v>
      </c>
    </row>
    <row r="79" spans="1:8" x14ac:dyDescent="0.15">
      <c r="A79" s="492">
        <v>37</v>
      </c>
      <c r="B79" s="211">
        <f>+'Statens skalatrin'!N114</f>
        <v>326457.34000000003</v>
      </c>
      <c r="C79" s="809">
        <f t="shared" si="3"/>
        <v>27204.778333333335</v>
      </c>
      <c r="D79" s="811">
        <f>ROUND(B79*(1+'Løntabel gældende fra'!$D$7/100),0)</f>
        <v>350932</v>
      </c>
      <c r="E79" s="831">
        <f t="shared" si="4"/>
        <v>29244.333333333332</v>
      </c>
      <c r="F79" s="813">
        <f t="shared" si="5"/>
        <v>4386.6499999999996</v>
      </c>
      <c r="G79" s="210">
        <f t="shared" si="6"/>
        <v>657.99749999999995</v>
      </c>
    </row>
    <row r="80" spans="1:8" x14ac:dyDescent="0.15">
      <c r="A80" s="492">
        <v>38</v>
      </c>
      <c r="B80" s="211">
        <f>+'Statens skalatrin'!N117</f>
        <v>333128.88</v>
      </c>
      <c r="C80" s="809">
        <f t="shared" si="3"/>
        <v>27760.74</v>
      </c>
      <c r="D80" s="811">
        <f>ROUND(B80*(1+'Løntabel gældende fra'!$D$7/100),0)</f>
        <v>358104</v>
      </c>
      <c r="E80" s="831">
        <f t="shared" si="4"/>
        <v>29842</v>
      </c>
      <c r="F80" s="813">
        <f t="shared" si="5"/>
        <v>4476.3</v>
      </c>
      <c r="G80" s="210">
        <f t="shared" si="6"/>
        <v>671.44500000000005</v>
      </c>
    </row>
    <row r="81" spans="1:7" x14ac:dyDescent="0.15">
      <c r="A81" s="492">
        <v>39</v>
      </c>
      <c r="B81" s="211">
        <f>+'Statens skalatrin'!N120</f>
        <v>339989.41</v>
      </c>
      <c r="C81" s="809">
        <f t="shared" si="3"/>
        <v>28332.450833333332</v>
      </c>
      <c r="D81" s="811">
        <f>ROUND(B81*(1+'Løntabel gældende fra'!$D$7/100),0)</f>
        <v>365479</v>
      </c>
      <c r="E81" s="831">
        <f t="shared" si="4"/>
        <v>30456.583333333332</v>
      </c>
      <c r="F81" s="813">
        <f t="shared" si="5"/>
        <v>4568.4874999999993</v>
      </c>
      <c r="G81" s="210">
        <f t="shared" si="6"/>
        <v>685.27312499999982</v>
      </c>
    </row>
    <row r="82" spans="1:7" x14ac:dyDescent="0.15">
      <c r="A82" s="492">
        <v>40</v>
      </c>
      <c r="B82" s="211">
        <f>+'Statens skalatrin'!N123</f>
        <v>347027.46</v>
      </c>
      <c r="C82" s="809">
        <f t="shared" si="3"/>
        <v>28918.955000000002</v>
      </c>
      <c r="D82" s="811">
        <f>ROUND(B82*(1+'Løntabel gældende fra'!$D$7/100),0)</f>
        <v>373045</v>
      </c>
      <c r="E82" s="831">
        <f t="shared" si="4"/>
        <v>31087.083333333332</v>
      </c>
      <c r="F82" s="813">
        <f t="shared" si="5"/>
        <v>4663.0625</v>
      </c>
      <c r="G82" s="210">
        <f t="shared" si="6"/>
        <v>699.45937500000002</v>
      </c>
    </row>
    <row r="83" spans="1:7" x14ac:dyDescent="0.15">
      <c r="A83" s="492">
        <v>41</v>
      </c>
      <c r="B83" s="211">
        <f>+'Statens skalatrin'!N126</f>
        <v>354249.23</v>
      </c>
      <c r="C83" s="809">
        <f t="shared" si="3"/>
        <v>29520.769166666665</v>
      </c>
      <c r="D83" s="811">
        <f>ROUND(B83*(1+'Løntabel gældende fra'!$D$7/100),0)</f>
        <v>380808</v>
      </c>
      <c r="E83" s="831">
        <f t="shared" si="4"/>
        <v>31734</v>
      </c>
      <c r="F83" s="813">
        <f t="shared" si="5"/>
        <v>4760.0999999999995</v>
      </c>
      <c r="G83" s="210">
        <f t="shared" si="6"/>
        <v>714.01499999999987</v>
      </c>
    </row>
    <row r="84" spans="1:7" x14ac:dyDescent="0.15">
      <c r="A84" s="492">
        <v>42</v>
      </c>
      <c r="B84" s="211">
        <f>+'Statens skalatrin'!N129</f>
        <v>361659.2</v>
      </c>
      <c r="C84" s="809">
        <f t="shared" si="3"/>
        <v>30138.266666666666</v>
      </c>
      <c r="D84" s="811">
        <f>ROUND(B84*(1+'Løntabel gældende fra'!$D$7/100),0)</f>
        <v>388774</v>
      </c>
      <c r="E84" s="831">
        <f t="shared" si="4"/>
        <v>32397.833333333332</v>
      </c>
      <c r="F84" s="813">
        <f t="shared" si="5"/>
        <v>4859.6749999999993</v>
      </c>
      <c r="G84" s="210">
        <f t="shared" si="6"/>
        <v>728.95124999999985</v>
      </c>
    </row>
    <row r="85" spans="1:7" x14ac:dyDescent="0.15">
      <c r="A85" s="492">
        <v>43</v>
      </c>
      <c r="B85" s="211">
        <f>+'Statens skalatrin'!N132</f>
        <v>369688.53</v>
      </c>
      <c r="C85" s="809">
        <f t="shared" si="3"/>
        <v>30807.377500000002</v>
      </c>
      <c r="D85" s="811">
        <f>ROUND(B85*(1+'Løntabel gældende fra'!$D$7/100),0)</f>
        <v>397405</v>
      </c>
      <c r="E85" s="831">
        <f t="shared" si="4"/>
        <v>33117.083333333336</v>
      </c>
      <c r="F85" s="813">
        <f t="shared" si="5"/>
        <v>4967.5625</v>
      </c>
      <c r="G85" s="210">
        <f t="shared" si="6"/>
        <v>745.13437499999998</v>
      </c>
    </row>
    <row r="86" spans="1:7" x14ac:dyDescent="0.15">
      <c r="A86" s="492">
        <v>44</v>
      </c>
      <c r="B86" s="211">
        <f>+'Statens skalatrin'!N135</f>
        <v>377937.3</v>
      </c>
      <c r="C86" s="809">
        <f t="shared" si="3"/>
        <v>31494.774999999998</v>
      </c>
      <c r="D86" s="811">
        <f>ROUND(B86*(1+'Løntabel gældende fra'!$D$7/100),0)</f>
        <v>406272</v>
      </c>
      <c r="E86" s="831">
        <f t="shared" si="4"/>
        <v>33856</v>
      </c>
      <c r="F86" s="813">
        <f t="shared" si="5"/>
        <v>5078.3999999999996</v>
      </c>
      <c r="G86" s="210">
        <f t="shared" si="6"/>
        <v>761.75999999999988</v>
      </c>
    </row>
    <row r="87" spans="1:7" x14ac:dyDescent="0.15">
      <c r="A87" s="492">
        <v>45</v>
      </c>
      <c r="B87" s="211">
        <f>+'Statens skalatrin'!N138</f>
        <v>386414.29</v>
      </c>
      <c r="C87" s="809">
        <f t="shared" si="3"/>
        <v>32201.19083333333</v>
      </c>
      <c r="D87" s="811">
        <f>ROUND(B87*(1+'Løntabel gældende fra'!$D$7/100),0)</f>
        <v>415385</v>
      </c>
      <c r="E87" s="831">
        <f t="shared" si="4"/>
        <v>34615.416666666664</v>
      </c>
      <c r="F87" s="813">
        <f t="shared" si="5"/>
        <v>5192.3124999999991</v>
      </c>
      <c r="G87" s="210">
        <f t="shared" si="6"/>
        <v>778.84687499999984</v>
      </c>
    </row>
    <row r="88" spans="1:7" s="79" customFormat="1" x14ac:dyDescent="0.15">
      <c r="A88" s="492">
        <v>46</v>
      </c>
      <c r="B88" s="211">
        <f>+'Statens skalatrin'!N141</f>
        <v>395124.74</v>
      </c>
      <c r="C88" s="809">
        <f t="shared" si="3"/>
        <v>32927.061666666668</v>
      </c>
      <c r="D88" s="811">
        <f>ROUND(B88*(1+'Løntabel gældende fra'!$D$7/100),0)</f>
        <v>424748</v>
      </c>
      <c r="E88" s="831">
        <f t="shared" si="4"/>
        <v>35395.666666666664</v>
      </c>
      <c r="F88" s="813">
        <f t="shared" si="5"/>
        <v>5309.3499999999995</v>
      </c>
      <c r="G88" s="210">
        <f t="shared" si="6"/>
        <v>796.40249999999992</v>
      </c>
    </row>
    <row r="89" spans="1:7" s="79" customFormat="1" x14ac:dyDescent="0.15">
      <c r="A89" s="492">
        <v>47</v>
      </c>
      <c r="B89" s="211">
        <f>+'Statens skalatrin'!N144</f>
        <v>413268.87</v>
      </c>
      <c r="C89" s="809">
        <f t="shared" si="3"/>
        <v>34439.072500000002</v>
      </c>
      <c r="D89" s="811">
        <f>ROUND(B89*(1+'Løntabel gældende fra'!$D$7/100),0)</f>
        <v>444252</v>
      </c>
      <c r="E89" s="831">
        <f t="shared" si="4"/>
        <v>37021</v>
      </c>
      <c r="F89" s="813">
        <f t="shared" si="5"/>
        <v>5553.15</v>
      </c>
      <c r="G89" s="210">
        <f t="shared" si="6"/>
        <v>832.97249999999997</v>
      </c>
    </row>
    <row r="90" spans="1:7" s="79" customFormat="1" x14ac:dyDescent="0.15">
      <c r="A90" s="492">
        <v>48</v>
      </c>
      <c r="B90" s="211">
        <f>+'Statens skalatrin'!N147</f>
        <v>441025.75</v>
      </c>
      <c r="C90" s="809">
        <f t="shared" si="3"/>
        <v>36752.145833333336</v>
      </c>
      <c r="D90" s="811">
        <f>ROUND(B90*(1+'Løntabel gældende fra'!$D$7/100),0)</f>
        <v>474090</v>
      </c>
      <c r="E90" s="831">
        <f t="shared" si="4"/>
        <v>39507.5</v>
      </c>
      <c r="F90" s="813">
        <f t="shared" si="5"/>
        <v>5926.125</v>
      </c>
      <c r="G90" s="210">
        <f t="shared" si="6"/>
        <v>888.91874999999993</v>
      </c>
    </row>
    <row r="91" spans="1:7" s="27" customFormat="1" x14ac:dyDescent="0.15">
      <c r="A91" s="492">
        <v>49</v>
      </c>
      <c r="B91" s="211">
        <f>+'Statens skalatrin'!N150</f>
        <v>471780.9</v>
      </c>
      <c r="C91" s="809">
        <f t="shared" si="3"/>
        <v>39315.075000000004</v>
      </c>
      <c r="D91" s="811">
        <f>ROUND(B91*(1+'Løntabel gældende fra'!$D$7/100),0)</f>
        <v>507151</v>
      </c>
      <c r="E91" s="831">
        <f t="shared" si="4"/>
        <v>42262.583333333336</v>
      </c>
      <c r="F91" s="813">
        <f t="shared" si="5"/>
        <v>6339.3874999999998</v>
      </c>
      <c r="G91" s="210">
        <f t="shared" si="6"/>
        <v>950.90812499999993</v>
      </c>
    </row>
    <row r="92" spans="1:7" s="27" customFormat="1" ht="15" customHeight="1" thickBot="1" x14ac:dyDescent="0.2">
      <c r="A92" s="429">
        <v>50</v>
      </c>
      <c r="B92" s="190">
        <f>+'Statens skalatrin'!N153</f>
        <v>521094.47</v>
      </c>
      <c r="C92" s="810">
        <f t="shared" si="3"/>
        <v>43424.539166666662</v>
      </c>
      <c r="D92" s="812">
        <f>ROUND(B92*(1+'Løntabel gældende fra'!$D$7/100),0)</f>
        <v>560162</v>
      </c>
      <c r="E92" s="832">
        <f t="shared" si="4"/>
        <v>46680.166666666664</v>
      </c>
      <c r="F92" s="814">
        <f t="shared" si="5"/>
        <v>7002.0249999999996</v>
      </c>
      <c r="G92" s="423">
        <f t="shared" si="6"/>
        <v>1050.3037499999998</v>
      </c>
    </row>
    <row r="93" spans="1:7" ht="93" customHeight="1" x14ac:dyDescent="0.15">
      <c r="A93" s="1274" t="s">
        <v>263</v>
      </c>
      <c r="B93" s="1274"/>
      <c r="C93" s="1274"/>
      <c r="D93" s="1274"/>
      <c r="E93" s="1274"/>
      <c r="F93" s="1274"/>
      <c r="G93" s="1274"/>
    </row>
    <row r="94" spans="1:7" s="79" customFormat="1" x14ac:dyDescent="0.15">
      <c r="A94" s="78"/>
      <c r="B94" s="78"/>
      <c r="C94" s="78"/>
      <c r="D94" s="78"/>
      <c r="E94" s="78"/>
      <c r="F94" s="78"/>
      <c r="G94" s="78"/>
    </row>
    <row r="95" spans="1:7" s="79" customFormat="1" ht="15" customHeight="1" x14ac:dyDescent="0.15">
      <c r="A95" s="1341"/>
      <c r="B95" s="1341"/>
      <c r="C95" s="1341"/>
      <c r="D95" s="1341"/>
      <c r="E95" s="1341"/>
      <c r="F95" s="1341"/>
      <c r="G95" s="1341"/>
    </row>
    <row r="96" spans="1:7" x14ac:dyDescent="0.15">
      <c r="A96" s="7"/>
      <c r="B96" s="7"/>
      <c r="C96" s="7"/>
      <c r="D96" s="7"/>
      <c r="E96" s="7"/>
      <c r="F96" s="7"/>
      <c r="G96" s="7"/>
    </row>
    <row r="97" spans="1:7" x14ac:dyDescent="0.15">
      <c r="A97" s="7"/>
      <c r="B97" s="7"/>
      <c r="C97" s="7"/>
      <c r="D97" s="7"/>
      <c r="E97" s="7"/>
      <c r="F97" s="7"/>
      <c r="G97" s="7"/>
    </row>
    <row r="98" spans="1:7" x14ac:dyDescent="0.15">
      <c r="A98" s="7"/>
      <c r="B98" s="7"/>
      <c r="C98" s="7"/>
      <c r="D98" s="7"/>
      <c r="E98" s="7"/>
      <c r="F98" s="7"/>
      <c r="G98" s="7"/>
    </row>
    <row r="99" spans="1:7" x14ac:dyDescent="0.15">
      <c r="A99" s="7"/>
      <c r="B99" s="7"/>
      <c r="C99" s="7"/>
      <c r="D99" s="7"/>
      <c r="E99" s="7"/>
      <c r="F99" s="7"/>
      <c r="G99" s="7"/>
    </row>
    <row r="100" spans="1:7" x14ac:dyDescent="0.15">
      <c r="A100" s="7"/>
      <c r="B100" s="7"/>
      <c r="C100" s="7"/>
      <c r="D100" s="7"/>
      <c r="E100" s="7"/>
      <c r="F100" s="7"/>
      <c r="G100" s="7"/>
    </row>
    <row r="101" spans="1:7" x14ac:dyDescent="0.15">
      <c r="A101" s="7"/>
      <c r="B101" s="7"/>
      <c r="C101" s="7"/>
      <c r="D101" s="7"/>
      <c r="E101" s="7"/>
      <c r="F101" s="7"/>
      <c r="G101" s="7"/>
    </row>
    <row r="102" spans="1:7" x14ac:dyDescent="0.15">
      <c r="A102" s="7"/>
      <c r="B102" s="7"/>
      <c r="C102" s="7"/>
      <c r="D102" s="7"/>
      <c r="E102" s="7"/>
      <c r="F102" s="7"/>
      <c r="G102" s="7"/>
    </row>
    <row r="103" spans="1:7" x14ac:dyDescent="0.15">
      <c r="A103" s="7"/>
      <c r="B103" s="7"/>
      <c r="C103" s="7"/>
      <c r="D103" s="7"/>
      <c r="E103" s="7"/>
      <c r="F103" s="7"/>
      <c r="G103" s="7"/>
    </row>
    <row r="104" spans="1:7" x14ac:dyDescent="0.15">
      <c r="A104" s="7"/>
      <c r="B104" s="7"/>
      <c r="C104" s="7"/>
      <c r="D104" s="7"/>
      <c r="E104" s="7"/>
      <c r="F104" s="7"/>
      <c r="G104" s="7"/>
    </row>
    <row r="105" spans="1:7" x14ac:dyDescent="0.15">
      <c r="A105" s="7"/>
      <c r="B105" s="7"/>
      <c r="C105" s="7"/>
      <c r="D105" s="7"/>
      <c r="E105" s="7"/>
      <c r="F105" s="7"/>
      <c r="G105" s="7"/>
    </row>
    <row r="106" spans="1:7" x14ac:dyDescent="0.15">
      <c r="A106" s="7"/>
      <c r="B106" s="7"/>
      <c r="C106" s="7"/>
      <c r="D106" s="7"/>
      <c r="E106" s="7"/>
      <c r="F106" s="7"/>
      <c r="G106" s="7"/>
    </row>
    <row r="107" spans="1:7" x14ac:dyDescent="0.15">
      <c r="A107" s="7"/>
      <c r="B107" s="7"/>
      <c r="C107" s="7"/>
      <c r="D107" s="7"/>
      <c r="E107" s="7"/>
      <c r="F107" s="7"/>
      <c r="G107" s="7"/>
    </row>
    <row r="108" spans="1:7" x14ac:dyDescent="0.15">
      <c r="A108" s="7"/>
      <c r="B108" s="7"/>
      <c r="C108" s="7"/>
      <c r="D108" s="7"/>
      <c r="E108" s="7"/>
      <c r="F108" s="7"/>
      <c r="G108" s="7"/>
    </row>
    <row r="109" spans="1:7" x14ac:dyDescent="0.15">
      <c r="A109" s="7"/>
      <c r="B109" s="7"/>
      <c r="C109" s="7"/>
      <c r="D109" s="7"/>
      <c r="E109" s="7"/>
      <c r="F109" s="7"/>
      <c r="G109" s="7"/>
    </row>
    <row r="110" spans="1:7" x14ac:dyDescent="0.15">
      <c r="A110" s="7"/>
      <c r="B110" s="7"/>
      <c r="C110" s="7"/>
      <c r="D110" s="7"/>
      <c r="E110" s="7"/>
      <c r="F110" s="7"/>
      <c r="G110" s="7"/>
    </row>
    <row r="111" spans="1:7" x14ac:dyDescent="0.15">
      <c r="A111" s="7"/>
      <c r="B111" s="7"/>
      <c r="C111" s="7"/>
      <c r="D111" s="7"/>
      <c r="E111" s="7"/>
      <c r="F111" s="7"/>
      <c r="G111" s="7"/>
    </row>
    <row r="112" spans="1:7" x14ac:dyDescent="0.15">
      <c r="A112" s="7"/>
      <c r="B112" s="7"/>
      <c r="C112" s="7"/>
      <c r="D112" s="7"/>
      <c r="E112" s="7"/>
      <c r="F112" s="7"/>
      <c r="G112" s="7"/>
    </row>
    <row r="113" spans="1:7" x14ac:dyDescent="0.15">
      <c r="A113" s="7"/>
      <c r="B113" s="7"/>
      <c r="C113" s="7"/>
      <c r="D113" s="7"/>
      <c r="E113" s="7"/>
      <c r="F113" s="7"/>
      <c r="G113" s="7"/>
    </row>
    <row r="114" spans="1:7" x14ac:dyDescent="0.15">
      <c r="A114" s="7"/>
      <c r="B114" s="7"/>
      <c r="C114" s="7"/>
      <c r="D114" s="7"/>
      <c r="E114" s="7"/>
      <c r="F114" s="7"/>
      <c r="G114" s="7"/>
    </row>
    <row r="115" spans="1:7" x14ac:dyDescent="0.15">
      <c r="A115" s="7"/>
      <c r="B115" s="7"/>
      <c r="C115" s="7"/>
      <c r="D115" s="7"/>
      <c r="E115" s="7"/>
      <c r="F115" s="7"/>
      <c r="G115" s="7"/>
    </row>
    <row r="116" spans="1:7" x14ac:dyDescent="0.15">
      <c r="A116" s="7"/>
      <c r="B116" s="7"/>
      <c r="C116" s="7"/>
      <c r="D116" s="7"/>
      <c r="E116" s="7"/>
      <c r="F116" s="7"/>
      <c r="G116" s="7"/>
    </row>
    <row r="117" spans="1:7" x14ac:dyDescent="0.15">
      <c r="A117" s="7"/>
      <c r="B117" s="7"/>
      <c r="C117" s="7"/>
      <c r="D117" s="7"/>
      <c r="E117" s="7"/>
      <c r="F117" s="7"/>
      <c r="G117" s="7"/>
    </row>
    <row r="118" spans="1:7" x14ac:dyDescent="0.15">
      <c r="A118" s="7"/>
      <c r="B118" s="7"/>
      <c r="C118" s="7"/>
      <c r="D118" s="7"/>
      <c r="E118" s="7"/>
      <c r="F118" s="7"/>
      <c r="G118" s="7"/>
    </row>
    <row r="119" spans="1:7" x14ac:dyDescent="0.15">
      <c r="A119" s="7"/>
      <c r="B119" s="7"/>
      <c r="C119" s="7"/>
      <c r="D119" s="7"/>
      <c r="E119" s="7"/>
      <c r="F119" s="7"/>
      <c r="G119" s="7"/>
    </row>
    <row r="120" spans="1:7" x14ac:dyDescent="0.15">
      <c r="A120" s="7"/>
      <c r="B120" s="7"/>
      <c r="C120" s="7"/>
      <c r="D120" s="7"/>
      <c r="E120" s="7"/>
      <c r="F120" s="7"/>
      <c r="G120" s="7"/>
    </row>
    <row r="121" spans="1:7" x14ac:dyDescent="0.15">
      <c r="A121" s="7"/>
      <c r="B121" s="7"/>
      <c r="C121" s="7"/>
      <c r="D121" s="7"/>
      <c r="E121" s="7"/>
      <c r="F121" s="7"/>
      <c r="G121" s="7"/>
    </row>
    <row r="122" spans="1:7" x14ac:dyDescent="0.15">
      <c r="A122" s="1"/>
      <c r="B122" s="1"/>
      <c r="C122" s="1"/>
      <c r="D122" s="1"/>
      <c r="E122" s="1"/>
      <c r="F122" s="1"/>
      <c r="G122" s="1"/>
    </row>
    <row r="123" spans="1:7" x14ac:dyDescent="0.15">
      <c r="A123" s="1"/>
      <c r="B123" s="1"/>
      <c r="C123" s="1"/>
      <c r="D123" s="1"/>
      <c r="E123" s="1"/>
      <c r="F123" s="1"/>
      <c r="G123" s="1"/>
    </row>
    <row r="124" spans="1:7" x14ac:dyDescent="0.15">
      <c r="A124" s="1"/>
      <c r="B124" s="1"/>
      <c r="C124" s="1"/>
      <c r="D124" s="1"/>
      <c r="E124" s="1"/>
      <c r="F124" s="1"/>
      <c r="G124" s="1"/>
    </row>
    <row r="125" spans="1:7" x14ac:dyDescent="0.15">
      <c r="A125" s="1"/>
      <c r="B125" s="1"/>
      <c r="C125" s="1"/>
      <c r="D125" s="1"/>
      <c r="E125" s="1"/>
      <c r="F125" s="1"/>
      <c r="G125" s="1"/>
    </row>
  </sheetData>
  <sheetProtection sheet="1" objects="1" scenarios="1"/>
  <mergeCells count="67">
    <mergeCell ref="C35:D35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N4:P4"/>
    <mergeCell ref="N5:P5"/>
    <mergeCell ref="N6:P6"/>
    <mergeCell ref="A95:G95"/>
    <mergeCell ref="C34:D34"/>
    <mergeCell ref="E36:F36"/>
    <mergeCell ref="A37:A38"/>
    <mergeCell ref="A31:F32"/>
    <mergeCell ref="N31:P31"/>
    <mergeCell ref="N32:P32"/>
    <mergeCell ref="A15:F16"/>
    <mergeCell ref="C18:D18"/>
    <mergeCell ref="E20:F20"/>
    <mergeCell ref="A12:B12"/>
    <mergeCell ref="C10:D10"/>
    <mergeCell ref="E10:F10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A42:E42"/>
    <mergeCell ref="A43:F43"/>
    <mergeCell ref="A45:C47"/>
    <mergeCell ref="C36:D36"/>
    <mergeCell ref="B62:G63"/>
    <mergeCell ref="A39:B39"/>
    <mergeCell ref="A40:B40"/>
    <mergeCell ref="A41:B41"/>
    <mergeCell ref="A44:F44"/>
    <mergeCell ref="A49:G49"/>
    <mergeCell ref="B50:G50"/>
    <mergeCell ref="A51:A54"/>
    <mergeCell ref="B51:D52"/>
    <mergeCell ref="A93:G93"/>
    <mergeCell ref="A56:G56"/>
    <mergeCell ref="A57:G57"/>
    <mergeCell ref="A58:G58"/>
    <mergeCell ref="B60:G60"/>
    <mergeCell ref="A60:A62"/>
    <mergeCell ref="A65:A67"/>
    <mergeCell ref="B65:G65"/>
    <mergeCell ref="G70:G71"/>
    <mergeCell ref="A70:A72"/>
    <mergeCell ref="B70:C70"/>
    <mergeCell ref="D70:E70"/>
    <mergeCell ref="D71:E71"/>
    <mergeCell ref="B67:G68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8" max="6" man="1"/>
    <brk id="96" max="16383" man="1"/>
  </rowBreaks>
  <colBreaks count="1" manualBreakCount="1">
    <brk id="8" max="1048575" man="1"/>
  </colBreaks>
  <ignoredErrors>
    <ignoredError sqref="D73:D74 D75:D9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sqref="A1:G1"/>
    </sheetView>
  </sheetViews>
  <sheetFormatPr baseColWidth="10" defaultColWidth="8.83203125" defaultRowHeight="14" x14ac:dyDescent="0.15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 x14ac:dyDescent="0.2">
      <c r="A1" s="1545" t="s">
        <v>443</v>
      </c>
      <c r="B1" s="1546"/>
      <c r="C1" s="1546"/>
      <c r="D1" s="1546"/>
      <c r="E1" s="1546"/>
      <c r="F1" s="1546"/>
      <c r="G1" s="1547"/>
      <c r="H1" s="888"/>
      <c r="I1" s="888"/>
    </row>
    <row r="2" spans="1:9" ht="8.25" customHeight="1" x14ac:dyDescent="0.15">
      <c r="A2" s="929"/>
      <c r="B2" s="929"/>
      <c r="C2" s="929"/>
      <c r="D2" s="929"/>
      <c r="E2" s="929"/>
      <c r="F2" s="929"/>
      <c r="G2" s="929"/>
      <c r="H2" s="888"/>
      <c r="I2" s="888"/>
    </row>
    <row r="3" spans="1:9" s="27" customFormat="1" ht="11.25" customHeight="1" thickBot="1" x14ac:dyDescent="0.2">
      <c r="A3" s="856"/>
      <c r="B3" s="856"/>
      <c r="C3" s="856"/>
      <c r="D3" s="856"/>
    </row>
    <row r="4" spans="1:9" s="857" customFormat="1" ht="21.75" customHeight="1" thickBot="1" x14ac:dyDescent="0.2">
      <c r="A4" s="1429" t="s">
        <v>442</v>
      </c>
      <c r="B4" s="1430"/>
      <c r="C4" s="1430"/>
      <c r="D4" s="1430"/>
      <c r="E4" s="1430"/>
      <c r="F4" s="1430"/>
      <c r="G4" s="1431"/>
      <c r="H4" s="837"/>
    </row>
    <row r="5" spans="1:9" ht="8.25" customHeight="1" thickBot="1" x14ac:dyDescent="0.2">
      <c r="A5" s="1432"/>
      <c r="B5" s="1432"/>
      <c r="C5" s="1432"/>
      <c r="D5" s="1432"/>
      <c r="E5" s="1432"/>
      <c r="F5" s="1432"/>
      <c r="G5" s="1432"/>
      <c r="H5" s="79"/>
    </row>
    <row r="6" spans="1:9" ht="16.5" customHeight="1" x14ac:dyDescent="0.15">
      <c r="A6" s="1548" t="s">
        <v>281</v>
      </c>
      <c r="B6" s="1549"/>
      <c r="C6" s="1549"/>
      <c r="D6" s="1549"/>
      <c r="E6" s="1549"/>
      <c r="F6" s="1549"/>
      <c r="G6" s="1550"/>
      <c r="H6" s="237"/>
    </row>
    <row r="7" spans="1:9" ht="18.75" customHeight="1" thickBot="1" x14ac:dyDescent="0.2">
      <c r="A7" s="1551" t="s">
        <v>444</v>
      </c>
      <c r="B7" s="1552"/>
      <c r="C7" s="1552"/>
      <c r="D7" s="1552"/>
      <c r="E7" s="1552"/>
      <c r="F7" s="1552"/>
      <c r="G7" s="1553"/>
      <c r="H7" s="889"/>
    </row>
    <row r="8" spans="1:9" ht="15" customHeight="1" x14ac:dyDescent="0.15">
      <c r="A8" s="1438" t="s">
        <v>441</v>
      </c>
      <c r="B8" s="1439"/>
      <c r="C8" s="1458" t="s">
        <v>137</v>
      </c>
      <c r="D8" s="1460" t="s">
        <v>390</v>
      </c>
      <c r="E8" s="1460" t="s">
        <v>301</v>
      </c>
      <c r="F8" s="1518" t="s">
        <v>408</v>
      </c>
      <c r="G8" s="1531"/>
      <c r="H8" s="79"/>
    </row>
    <row r="9" spans="1:9" ht="28" customHeight="1" x14ac:dyDescent="0.15">
      <c r="A9" s="1440"/>
      <c r="B9" s="1441"/>
      <c r="C9" s="1459"/>
      <c r="D9" s="1461"/>
      <c r="E9" s="1461"/>
      <c r="F9" s="1519"/>
      <c r="G9" s="1588"/>
    </row>
    <row r="10" spans="1:9" ht="15" thickBot="1" x14ac:dyDescent="0.2">
      <c r="A10" s="1442"/>
      <c r="B10" s="1443"/>
      <c r="C10" s="926">
        <v>40999</v>
      </c>
      <c r="D10" s="891" t="str">
        <f>'Løntabel gældende fra'!$D$1</f>
        <v>01/10/2018</v>
      </c>
      <c r="E10" s="891" t="str">
        <f>'Løntabel gældende fra'!$D$1</f>
        <v>01/10/2018</v>
      </c>
      <c r="F10" s="1591" t="s">
        <v>407</v>
      </c>
      <c r="G10" s="1587"/>
    </row>
    <row r="11" spans="1:9" x14ac:dyDescent="0.15">
      <c r="A11" s="1319">
        <v>1</v>
      </c>
      <c r="B11" s="1444"/>
      <c r="C11" s="892">
        <v>285240</v>
      </c>
      <c r="D11" s="890">
        <f>C11*(1+'Løntabel gældende fra'!$D$7/100)</f>
        <v>306625.01328000001</v>
      </c>
      <c r="E11" s="890">
        <f>D11/12</f>
        <v>25552.084440000002</v>
      </c>
      <c r="F11" s="1599">
        <f>E11*0.168</f>
        <v>4292.7501859200011</v>
      </c>
      <c r="G11" s="1107"/>
    </row>
    <row r="12" spans="1:9" x14ac:dyDescent="0.15">
      <c r="A12" s="1445">
        <v>2</v>
      </c>
      <c r="B12" s="1446"/>
      <c r="C12" s="848">
        <v>285240</v>
      </c>
      <c r="D12" s="822">
        <f>C12*(1+'Løntabel gældende fra'!$D$7/100)</f>
        <v>306625.01328000001</v>
      </c>
      <c r="E12" s="822">
        <f>D12/12</f>
        <v>25552.084440000002</v>
      </c>
      <c r="F12" s="1600">
        <f>E12*0.168</f>
        <v>4292.7501859200011</v>
      </c>
      <c r="G12" s="1073"/>
    </row>
    <row r="13" spans="1:9" x14ac:dyDescent="0.15">
      <c r="A13" s="1445">
        <v>3</v>
      </c>
      <c r="B13" s="1446"/>
      <c r="C13" s="848">
        <v>307417</v>
      </c>
      <c r="D13" s="822">
        <f>C13*(1+'Løntabel gældende fra'!$D$7/100)</f>
        <v>330464.66732400004</v>
      </c>
      <c r="E13" s="822">
        <f>D13/12</f>
        <v>27538.722277000004</v>
      </c>
      <c r="F13" s="1600">
        <f>E13*0.168</f>
        <v>4626.5053425360011</v>
      </c>
      <c r="G13" s="1073"/>
    </row>
    <row r="14" spans="1:9" x14ac:dyDescent="0.15">
      <c r="A14" s="1445">
        <v>4</v>
      </c>
      <c r="B14" s="1446"/>
      <c r="C14" s="848">
        <v>327643</v>
      </c>
      <c r="D14" s="822">
        <f>C14*(1+'Løntabel gældende fra'!$D$7/100)</f>
        <v>352207.05099600001</v>
      </c>
      <c r="E14" s="822">
        <f>D14/12</f>
        <v>29350.587583</v>
      </c>
      <c r="F14" s="1600">
        <f>E14*0.168</f>
        <v>4930.8987139440005</v>
      </c>
      <c r="G14" s="1073"/>
    </row>
    <row r="15" spans="1:9" ht="15" thickBot="1" x14ac:dyDescent="0.2">
      <c r="A15" s="1317">
        <v>5</v>
      </c>
      <c r="B15" s="1447"/>
      <c r="C15" s="850">
        <v>347571</v>
      </c>
      <c r="D15" s="823">
        <f>C15*(1+'Løntabel gældende fra'!$D$7/100)</f>
        <v>373629.09301200003</v>
      </c>
      <c r="E15" s="823">
        <f>D15/12</f>
        <v>31135.757751000001</v>
      </c>
      <c r="F15" s="1601">
        <f>E15*0.168</f>
        <v>5230.8073021680002</v>
      </c>
      <c r="G15" s="1078"/>
    </row>
    <row r="16" spans="1:9" x14ac:dyDescent="0.15">
      <c r="A16" s="1448" t="s">
        <v>474</v>
      </c>
      <c r="B16" s="1448"/>
      <c r="C16" s="1448"/>
      <c r="D16" s="1448"/>
      <c r="E16" s="1448"/>
      <c r="F16" s="1448"/>
      <c r="G16" s="1448"/>
      <c r="H16" s="1448"/>
    </row>
    <row r="17" spans="1:9" ht="15" thickBot="1" x14ac:dyDescent="0.2">
      <c r="I17" s="855"/>
    </row>
    <row r="18" spans="1:9" ht="15" thickBot="1" x14ac:dyDescent="0.2">
      <c r="A18" s="1450" t="s">
        <v>489</v>
      </c>
      <c r="B18" s="1451"/>
      <c r="C18" s="1452"/>
      <c r="D18" s="1450" t="s">
        <v>464</v>
      </c>
      <c r="E18" s="1451"/>
      <c r="F18" s="1452"/>
      <c r="G18" s="853"/>
    </row>
    <row r="19" spans="1:9" ht="15" thickBot="1" x14ac:dyDescent="0.2">
      <c r="A19" s="930" t="s">
        <v>465</v>
      </c>
      <c r="B19" s="1435" t="s">
        <v>97</v>
      </c>
      <c r="C19" s="1436"/>
      <c r="D19" s="930" t="s">
        <v>465</v>
      </c>
      <c r="E19" s="1435" t="s">
        <v>97</v>
      </c>
      <c r="F19" s="1437"/>
      <c r="G19" s="853"/>
    </row>
    <row r="20" spans="1:9" ht="15.75" customHeight="1" x14ac:dyDescent="0.15">
      <c r="A20" s="931">
        <v>2</v>
      </c>
      <c r="B20" s="1433" t="s">
        <v>466</v>
      </c>
      <c r="C20" s="1449"/>
      <c r="D20" s="931">
        <v>1</v>
      </c>
      <c r="E20" s="1433" t="s">
        <v>469</v>
      </c>
      <c r="F20" s="1434"/>
      <c r="G20" s="853"/>
    </row>
    <row r="21" spans="1:9" x14ac:dyDescent="0.15">
      <c r="A21" s="932">
        <v>4</v>
      </c>
      <c r="B21" s="1463" t="s">
        <v>467</v>
      </c>
      <c r="C21" s="1520"/>
      <c r="D21" s="932">
        <v>3</v>
      </c>
      <c r="E21" s="1463" t="s">
        <v>470</v>
      </c>
      <c r="F21" s="1464"/>
      <c r="G21" s="853"/>
    </row>
    <row r="22" spans="1:9" ht="15" thickBot="1" x14ac:dyDescent="0.2">
      <c r="A22" s="933">
        <v>5</v>
      </c>
      <c r="B22" s="1465" t="s">
        <v>468</v>
      </c>
      <c r="C22" s="1466"/>
      <c r="D22" s="933">
        <v>5</v>
      </c>
      <c r="E22" s="1465" t="s">
        <v>471</v>
      </c>
      <c r="F22" s="1541"/>
      <c r="G22" s="853"/>
    </row>
    <row r="23" spans="1:9" ht="14" customHeight="1" thickBot="1" x14ac:dyDescent="0.2">
      <c r="A23" s="852"/>
      <c r="B23" s="852"/>
      <c r="C23" s="853"/>
      <c r="D23" s="853"/>
      <c r="E23" s="854"/>
      <c r="F23" s="819"/>
      <c r="G23" s="819"/>
    </row>
    <row r="24" spans="1:9" ht="22.5" customHeight="1" x14ac:dyDescent="0.15">
      <c r="A24" s="1548" t="s">
        <v>440</v>
      </c>
      <c r="B24" s="1549"/>
      <c r="C24" s="1549"/>
      <c r="D24" s="1549"/>
      <c r="E24" s="1549"/>
      <c r="F24" s="1549"/>
      <c r="G24" s="1550"/>
    </row>
    <row r="25" spans="1:9" ht="20.25" customHeight="1" thickBot="1" x14ac:dyDescent="0.2">
      <c r="A25" s="1551" t="s">
        <v>444</v>
      </c>
      <c r="B25" s="1552"/>
      <c r="C25" s="1552"/>
      <c r="D25" s="1552"/>
      <c r="E25" s="1552"/>
      <c r="F25" s="1552"/>
      <c r="G25" s="1553"/>
    </row>
    <row r="26" spans="1:9" ht="15.75" customHeight="1" x14ac:dyDescent="0.15">
      <c r="A26" s="1438" t="s">
        <v>95</v>
      </c>
      <c r="B26" s="1439"/>
      <c r="C26" s="1458" t="s">
        <v>137</v>
      </c>
      <c r="D26" s="1460" t="s">
        <v>390</v>
      </c>
      <c r="E26" s="1460" t="s">
        <v>301</v>
      </c>
      <c r="F26" s="1518" t="s">
        <v>408</v>
      </c>
      <c r="G26" s="1531"/>
    </row>
    <row r="27" spans="1:9" ht="15" customHeight="1" x14ac:dyDescent="0.15">
      <c r="A27" s="1440"/>
      <c r="B27" s="1441"/>
      <c r="C27" s="1459"/>
      <c r="D27" s="1461"/>
      <c r="E27" s="1461"/>
      <c r="F27" s="1519"/>
      <c r="G27" s="1588"/>
    </row>
    <row r="28" spans="1:9" ht="15" thickBot="1" x14ac:dyDescent="0.2">
      <c r="A28" s="1586"/>
      <c r="B28" s="1587"/>
      <c r="C28" s="926">
        <v>40999</v>
      </c>
      <c r="D28" s="891" t="str">
        <f>'Løntabel gældende fra'!$D$1</f>
        <v>01/10/2018</v>
      </c>
      <c r="E28" s="891" t="str">
        <f>'Løntabel gældende fra'!$D$1</f>
        <v>01/10/2018</v>
      </c>
      <c r="F28" s="1589">
        <v>0.16800000000000001</v>
      </c>
      <c r="G28" s="1590"/>
    </row>
    <row r="29" spans="1:9" x14ac:dyDescent="0.15">
      <c r="A29" s="1543" t="s">
        <v>439</v>
      </c>
      <c r="B29" s="1544"/>
      <c r="C29" s="898">
        <v>38000</v>
      </c>
      <c r="D29" s="894">
        <f>C29*(1+'Løntabel gældende fra'!$D$7/100)</f>
        <v>40848.936000000002</v>
      </c>
      <c r="E29" s="894">
        <f t="shared" ref="E29:E35" si="0">D29/12</f>
        <v>3404.078</v>
      </c>
      <c r="F29" s="1564">
        <f t="shared" ref="F29:F35" si="1">E29*0.168</f>
        <v>571.88510400000007</v>
      </c>
      <c r="G29" s="1565"/>
    </row>
    <row r="30" spans="1:9" ht="14.25" customHeight="1" x14ac:dyDescent="0.15">
      <c r="A30" s="1445" t="s">
        <v>438</v>
      </c>
      <c r="B30" s="1446"/>
      <c r="C30" s="893">
        <v>38000</v>
      </c>
      <c r="D30" s="825">
        <f>C30*(1+'Løntabel gældende fra'!$D$7/100)</f>
        <v>40848.936000000002</v>
      </c>
      <c r="E30" s="825">
        <f t="shared" si="0"/>
        <v>3404.078</v>
      </c>
      <c r="F30" s="1566">
        <f t="shared" si="1"/>
        <v>571.88510400000007</v>
      </c>
      <c r="G30" s="1567"/>
    </row>
    <row r="31" spans="1:9" x14ac:dyDescent="0.15">
      <c r="A31" s="1445" t="s">
        <v>437</v>
      </c>
      <c r="B31" s="1446"/>
      <c r="C31" s="893">
        <v>50000</v>
      </c>
      <c r="D31" s="825">
        <f>C31*(1+'Løntabel gældende fra'!$D$7/100)</f>
        <v>53748.6</v>
      </c>
      <c r="E31" s="825">
        <f t="shared" si="0"/>
        <v>4479.05</v>
      </c>
      <c r="F31" s="1566">
        <f t="shared" si="1"/>
        <v>752.48040000000003</v>
      </c>
      <c r="G31" s="1567"/>
    </row>
    <row r="32" spans="1:9" x14ac:dyDescent="0.15">
      <c r="A32" s="1445" t="s">
        <v>436</v>
      </c>
      <c r="B32" s="1446"/>
      <c r="C32" s="893">
        <v>50000</v>
      </c>
      <c r="D32" s="825">
        <f>C32*(1+'Løntabel gældende fra'!$D$7/100)</f>
        <v>53748.6</v>
      </c>
      <c r="E32" s="825">
        <f t="shared" si="0"/>
        <v>4479.05</v>
      </c>
      <c r="F32" s="1566">
        <f t="shared" si="1"/>
        <v>752.48040000000003</v>
      </c>
      <c r="G32" s="1567"/>
    </row>
    <row r="33" spans="1:7" ht="15" customHeight="1" x14ac:dyDescent="0.15">
      <c r="A33" s="1353" t="s">
        <v>435</v>
      </c>
      <c r="B33" s="1542"/>
      <c r="C33" s="893">
        <v>50000</v>
      </c>
      <c r="D33" s="825">
        <f>C33*(1+'Løntabel gældende fra'!$D$7/100)</f>
        <v>53748.6</v>
      </c>
      <c r="E33" s="825">
        <f t="shared" si="0"/>
        <v>4479.05</v>
      </c>
      <c r="F33" s="1566">
        <f t="shared" si="1"/>
        <v>752.48040000000003</v>
      </c>
      <c r="G33" s="1567"/>
    </row>
    <row r="34" spans="1:7" ht="15.75" customHeight="1" x14ac:dyDescent="0.15">
      <c r="A34" s="1445" t="s">
        <v>463</v>
      </c>
      <c r="B34" s="1446"/>
      <c r="C34" s="893">
        <v>50000</v>
      </c>
      <c r="D34" s="825">
        <f>C34*(1+'Løntabel gældende fra'!$D$7/100)</f>
        <v>53748.6</v>
      </c>
      <c r="E34" s="825">
        <f t="shared" si="0"/>
        <v>4479.05</v>
      </c>
      <c r="F34" s="1566">
        <f t="shared" si="1"/>
        <v>752.48040000000003</v>
      </c>
      <c r="G34" s="1567"/>
    </row>
    <row r="35" spans="1:7" ht="15.75" customHeight="1" thickBot="1" x14ac:dyDescent="0.2">
      <c r="A35" s="1442" t="s">
        <v>434</v>
      </c>
      <c r="B35" s="1443"/>
      <c r="C35" s="849">
        <v>72500</v>
      </c>
      <c r="D35" s="826">
        <f>C35*(1+'Løntabel gældende fra'!$D$7/100)</f>
        <v>77935.47</v>
      </c>
      <c r="E35" s="826">
        <f t="shared" si="0"/>
        <v>6494.6225000000004</v>
      </c>
      <c r="F35" s="1568">
        <f t="shared" si="1"/>
        <v>1091.0965800000001</v>
      </c>
      <c r="G35" s="1569"/>
    </row>
    <row r="36" spans="1:7" ht="15.75" customHeight="1" thickBot="1" x14ac:dyDescent="0.2">
      <c r="A36" s="851"/>
      <c r="B36" s="851"/>
      <c r="C36" s="851"/>
      <c r="D36" s="851"/>
      <c r="E36" s="851"/>
      <c r="F36" s="851"/>
      <c r="G36" s="851"/>
    </row>
    <row r="37" spans="1:7" ht="19.5" customHeight="1" x14ac:dyDescent="0.15">
      <c r="A37" s="1162" t="s">
        <v>446</v>
      </c>
      <c r="B37" s="1163"/>
      <c r="C37" s="1163"/>
      <c r="D37" s="1163"/>
      <c r="E37" s="1163"/>
      <c r="F37" s="1163"/>
      <c r="G37" s="1164"/>
    </row>
    <row r="38" spans="1:7" ht="14" customHeight="1" x14ac:dyDescent="0.15">
      <c r="A38" s="1558" t="s">
        <v>445</v>
      </c>
      <c r="B38" s="1559"/>
      <c r="C38" s="1559"/>
      <c r="D38" s="1559"/>
      <c r="E38" s="1559"/>
      <c r="F38" s="1559"/>
      <c r="G38" s="1560"/>
    </row>
    <row r="39" spans="1:7" ht="18" customHeight="1" thickBot="1" x14ac:dyDescent="0.2">
      <c r="A39" s="1561"/>
      <c r="B39" s="1562"/>
      <c r="C39" s="1562"/>
      <c r="D39" s="1562"/>
      <c r="E39" s="1562"/>
      <c r="F39" s="1562"/>
      <c r="G39" s="1563"/>
    </row>
    <row r="40" spans="1:7" ht="19.5" customHeight="1" thickBot="1" x14ac:dyDescent="0.2">
      <c r="A40" s="1555" t="s">
        <v>433</v>
      </c>
      <c r="B40" s="1556"/>
      <c r="C40" s="1556"/>
      <c r="D40" s="1556"/>
      <c r="E40" s="1556"/>
      <c r="F40" s="1556"/>
      <c r="G40" s="1557"/>
    </row>
    <row r="41" spans="1:7" x14ac:dyDescent="0.15">
      <c r="A41" s="1514" t="s">
        <v>431</v>
      </c>
      <c r="B41" s="1530"/>
      <c r="C41" s="1530"/>
      <c r="D41" s="1531"/>
      <c r="E41" s="1458" t="s">
        <v>137</v>
      </c>
      <c r="F41" s="1460" t="s">
        <v>390</v>
      </c>
      <c r="G41" s="1439" t="s">
        <v>301</v>
      </c>
    </row>
    <row r="42" spans="1:7" x14ac:dyDescent="0.15">
      <c r="A42" s="1532"/>
      <c r="B42" s="1533"/>
      <c r="C42" s="1533"/>
      <c r="D42" s="1534"/>
      <c r="E42" s="1459"/>
      <c r="F42" s="1461"/>
      <c r="G42" s="1441"/>
    </row>
    <row r="43" spans="1:7" ht="15" thickBot="1" x14ac:dyDescent="0.2">
      <c r="A43" s="1535"/>
      <c r="B43" s="1536"/>
      <c r="C43" s="1536"/>
      <c r="D43" s="1537"/>
      <c r="E43" s="926">
        <v>40999</v>
      </c>
      <c r="F43" s="896" t="str">
        <f>'Løntabel gældende fra'!$D$1</f>
        <v>01/10/2018</v>
      </c>
      <c r="G43" s="970" t="str">
        <f>F43</f>
        <v>01/10/2018</v>
      </c>
    </row>
    <row r="44" spans="1:7" x14ac:dyDescent="0.15">
      <c r="A44" s="1538">
        <v>-200</v>
      </c>
      <c r="B44" s="1539"/>
      <c r="C44" s="1539"/>
      <c r="D44" s="1540"/>
      <c r="E44" s="892">
        <v>18200</v>
      </c>
      <c r="F44" s="890">
        <f>E44*(1+'Løntabel gældende fra'!$D$7/100)</f>
        <v>19564.490400000002</v>
      </c>
      <c r="G44" s="452">
        <f>F44/12</f>
        <v>1630.3742000000002</v>
      </c>
    </row>
    <row r="45" spans="1:7" x14ac:dyDescent="0.15">
      <c r="A45" s="1511" t="s">
        <v>430</v>
      </c>
      <c r="B45" s="1512"/>
      <c r="C45" s="1512"/>
      <c r="D45" s="1513"/>
      <c r="E45" s="848">
        <v>33300</v>
      </c>
      <c r="F45" s="822">
        <f>E45*(1+'Løntabel gældende fra'!$D$7/100)</f>
        <v>35796.567600000002</v>
      </c>
      <c r="G45" s="450">
        <f>F45/12</f>
        <v>2983.0473000000002</v>
      </c>
    </row>
    <row r="46" spans="1:7" x14ac:dyDescent="0.15">
      <c r="A46" s="1511" t="s">
        <v>429</v>
      </c>
      <c r="B46" s="1512"/>
      <c r="C46" s="1512"/>
      <c r="D46" s="1513"/>
      <c r="E46" s="848">
        <v>44000</v>
      </c>
      <c r="F46" s="822">
        <f>E46*(1+'Løntabel gældende fra'!$D$7/100)</f>
        <v>47298.768000000004</v>
      </c>
      <c r="G46" s="450">
        <f>F46/12</f>
        <v>3941.5640000000003</v>
      </c>
    </row>
    <row r="47" spans="1:7" ht="14" customHeight="1" x14ac:dyDescent="0.15">
      <c r="A47" s="1511" t="s">
        <v>428</v>
      </c>
      <c r="B47" s="1512"/>
      <c r="C47" s="1512"/>
      <c r="D47" s="1513"/>
      <c r="E47" s="848">
        <v>54700</v>
      </c>
      <c r="F47" s="822">
        <f>E47*(1+'Løntabel gældende fra'!$D$7/100)</f>
        <v>58800.968400000005</v>
      </c>
      <c r="G47" s="450">
        <f>F47/12</f>
        <v>4900.0807000000004</v>
      </c>
    </row>
    <row r="48" spans="1:7" ht="15" thickBot="1" x14ac:dyDescent="0.2">
      <c r="A48" s="1527" t="s">
        <v>427</v>
      </c>
      <c r="B48" s="1528"/>
      <c r="C48" s="1528"/>
      <c r="D48" s="1529"/>
      <c r="E48" s="850">
        <v>60700</v>
      </c>
      <c r="F48" s="823">
        <f>E48*(1+'Løntabel gældende fra'!$D$7/100)</f>
        <v>65250.8004</v>
      </c>
      <c r="G48" s="824">
        <f>F48/12</f>
        <v>5437.5667000000003</v>
      </c>
    </row>
    <row r="49" spans="1:10" ht="22.5" customHeight="1" thickBot="1" x14ac:dyDescent="0.2">
      <c r="A49" s="1555" t="s">
        <v>432</v>
      </c>
      <c r="B49" s="1556"/>
      <c r="C49" s="1556"/>
      <c r="D49" s="1556"/>
      <c r="E49" s="1556"/>
      <c r="F49" s="1556"/>
      <c r="G49" s="1557"/>
    </row>
    <row r="50" spans="1:10" x14ac:dyDescent="0.15">
      <c r="A50" s="1514" t="s">
        <v>431</v>
      </c>
      <c r="B50" s="1530"/>
      <c r="C50" s="1530"/>
      <c r="D50" s="1531"/>
      <c r="E50" s="1521" t="s">
        <v>137</v>
      </c>
      <c r="F50" s="1523" t="s">
        <v>390</v>
      </c>
      <c r="G50" s="1525" t="s">
        <v>301</v>
      </c>
    </row>
    <row r="51" spans="1:10" x14ac:dyDescent="0.15">
      <c r="A51" s="1532"/>
      <c r="B51" s="1533"/>
      <c r="C51" s="1533"/>
      <c r="D51" s="1534"/>
      <c r="E51" s="1522"/>
      <c r="F51" s="1524"/>
      <c r="G51" s="1526"/>
    </row>
    <row r="52" spans="1:10" ht="15" thickBot="1" x14ac:dyDescent="0.2">
      <c r="A52" s="1535"/>
      <c r="B52" s="1536"/>
      <c r="C52" s="1536"/>
      <c r="D52" s="1537"/>
      <c r="E52" s="926">
        <v>40999</v>
      </c>
      <c r="F52" s="896" t="str">
        <f>'Løntabel gældende fra'!$D$1</f>
        <v>01/10/2018</v>
      </c>
      <c r="G52" s="970" t="str">
        <f>F52</f>
        <v>01/10/2018</v>
      </c>
      <c r="J52" s="819"/>
    </row>
    <row r="53" spans="1:10" x14ac:dyDescent="0.15">
      <c r="A53" s="1538">
        <v>-200</v>
      </c>
      <c r="B53" s="1539"/>
      <c r="C53" s="1539"/>
      <c r="D53" s="1540"/>
      <c r="E53" s="892">
        <v>12500</v>
      </c>
      <c r="F53" s="890">
        <f>E53*(1+'Løntabel gældende fra'!$D$7/100)</f>
        <v>13437.15</v>
      </c>
      <c r="G53" s="452">
        <f>F53/12</f>
        <v>1119.7625</v>
      </c>
      <c r="J53" s="821"/>
    </row>
    <row r="54" spans="1:10" ht="14" customHeight="1" x14ac:dyDescent="0.15">
      <c r="A54" s="1511" t="s">
        <v>430</v>
      </c>
      <c r="B54" s="1512"/>
      <c r="C54" s="1512"/>
      <c r="D54" s="1513"/>
      <c r="E54" s="848">
        <v>13600</v>
      </c>
      <c r="F54" s="822">
        <f>E54*(1+'Løntabel gældende fra'!$D$7/100)</f>
        <v>14619.619200000001</v>
      </c>
      <c r="G54" s="450">
        <f>F54/12</f>
        <v>1218.3016</v>
      </c>
    </row>
    <row r="55" spans="1:10" ht="15" customHeight="1" x14ac:dyDescent="0.15">
      <c r="A55" s="1511" t="s">
        <v>429</v>
      </c>
      <c r="B55" s="1512"/>
      <c r="C55" s="1512"/>
      <c r="D55" s="1513"/>
      <c r="E55" s="848">
        <v>18200</v>
      </c>
      <c r="F55" s="822">
        <f>E55*(1+'Løntabel gældende fra'!$D$7/100)</f>
        <v>19564.490400000002</v>
      </c>
      <c r="G55" s="450">
        <f>F55/12</f>
        <v>1630.3742000000002</v>
      </c>
    </row>
    <row r="56" spans="1:10" ht="15" customHeight="1" x14ac:dyDescent="0.15">
      <c r="A56" s="1511" t="s">
        <v>428</v>
      </c>
      <c r="B56" s="1512"/>
      <c r="C56" s="1512"/>
      <c r="D56" s="1513"/>
      <c r="E56" s="848">
        <v>25200</v>
      </c>
      <c r="F56" s="822">
        <f>E56*(1+'Løntabel gældende fra'!$D$7/100)</f>
        <v>27089.294400000002</v>
      </c>
      <c r="G56" s="450">
        <f>F56/12</f>
        <v>2257.4412000000002</v>
      </c>
    </row>
    <row r="57" spans="1:10" ht="16.5" customHeight="1" thickBot="1" x14ac:dyDescent="0.2">
      <c r="A57" s="1527" t="s">
        <v>427</v>
      </c>
      <c r="B57" s="1528"/>
      <c r="C57" s="1528"/>
      <c r="D57" s="1529"/>
      <c r="E57" s="850">
        <v>28000</v>
      </c>
      <c r="F57" s="823">
        <f>E57*(1+'Løntabel gældende fra'!$D$7/100)</f>
        <v>30099.216</v>
      </c>
      <c r="G57" s="824">
        <f>F57/12</f>
        <v>2508.268</v>
      </c>
    </row>
    <row r="58" spans="1:10" ht="15.75" customHeight="1" thickBot="1" x14ac:dyDescent="0.2">
      <c r="A58" s="834"/>
      <c r="B58" s="834"/>
      <c r="C58" s="834"/>
      <c r="D58" s="834"/>
      <c r="E58" s="834"/>
      <c r="F58" s="834"/>
      <c r="G58" s="834"/>
    </row>
    <row r="59" spans="1:10" ht="17.25" customHeight="1" x14ac:dyDescent="0.2">
      <c r="A59" s="1175" t="s">
        <v>426</v>
      </c>
      <c r="B59" s="1176"/>
      <c r="C59" s="1176"/>
      <c r="D59" s="1176"/>
      <c r="E59" s="1176"/>
      <c r="F59" s="1176"/>
      <c r="G59" s="1177"/>
    </row>
    <row r="60" spans="1:10" ht="17.25" customHeight="1" thickBot="1" x14ac:dyDescent="0.25">
      <c r="A60" s="1139" t="s">
        <v>447</v>
      </c>
      <c r="B60" s="1140"/>
      <c r="C60" s="1140"/>
      <c r="D60" s="1140"/>
      <c r="E60" s="1140"/>
      <c r="F60" s="1140"/>
      <c r="G60" s="1141"/>
    </row>
    <row r="61" spans="1:10" ht="28" customHeight="1" x14ac:dyDescent="0.15">
      <c r="A61" s="1438" t="s">
        <v>462</v>
      </c>
      <c r="B61" s="1460"/>
      <c r="C61" s="1439" t="s">
        <v>425</v>
      </c>
      <c r="D61" s="1458" t="s">
        <v>137</v>
      </c>
      <c r="E61" s="1460" t="s">
        <v>390</v>
      </c>
      <c r="F61" s="1602" t="s">
        <v>301</v>
      </c>
      <c r="G61" s="1575" t="s">
        <v>484</v>
      </c>
    </row>
    <row r="62" spans="1:10" ht="17.25" customHeight="1" x14ac:dyDescent="0.15">
      <c r="A62" s="1440"/>
      <c r="B62" s="1461"/>
      <c r="C62" s="1441"/>
      <c r="D62" s="1459"/>
      <c r="E62" s="1461"/>
      <c r="F62" s="1603"/>
      <c r="G62" s="1576"/>
    </row>
    <row r="63" spans="1:10" ht="14" customHeight="1" thickBot="1" x14ac:dyDescent="0.2">
      <c r="A63" s="1442"/>
      <c r="B63" s="1577"/>
      <c r="C63" s="1443"/>
      <c r="D63" s="925">
        <v>40999</v>
      </c>
      <c r="E63" s="896" t="str">
        <f>'Løntabel gældende fra'!$D$1</f>
        <v>01/10/2018</v>
      </c>
      <c r="F63" s="896" t="str">
        <f>E63</f>
        <v>01/10/2018</v>
      </c>
      <c r="G63" s="897">
        <v>0.16800000000000001</v>
      </c>
      <c r="H63" s="819"/>
    </row>
    <row r="64" spans="1:10" ht="14" customHeight="1" x14ac:dyDescent="0.15">
      <c r="A64" s="1467" t="s">
        <v>424</v>
      </c>
      <c r="B64" s="1468"/>
      <c r="C64" s="899" t="s">
        <v>423</v>
      </c>
      <c r="D64" s="898">
        <v>4300</v>
      </c>
      <c r="E64" s="894">
        <f>D64*(1+'Løntabel gældende fra'!$D$7/100)</f>
        <v>4622.3796000000002</v>
      </c>
      <c r="F64" s="894">
        <f t="shared" ref="F64:F69" si="2">E64/12</f>
        <v>385.19830000000002</v>
      </c>
      <c r="G64" s="895">
        <f t="shared" ref="G64:G69" si="3">F64*0.168</f>
        <v>64.713314400000002</v>
      </c>
    </row>
    <row r="65" spans="1:9" ht="14.5" customHeight="1" x14ac:dyDescent="0.15">
      <c r="A65" s="1235" t="s">
        <v>420</v>
      </c>
      <c r="B65" s="1462"/>
      <c r="C65" s="900" t="s">
        <v>422</v>
      </c>
      <c r="D65" s="893">
        <v>6900</v>
      </c>
      <c r="E65" s="825">
        <f>D65*(1+'Løntabel gældende fra'!$D$7/100)</f>
        <v>7417.3068000000003</v>
      </c>
      <c r="F65" s="825">
        <f t="shared" si="2"/>
        <v>618.10890000000006</v>
      </c>
      <c r="G65" s="829">
        <f t="shared" si="3"/>
        <v>103.84229520000002</v>
      </c>
    </row>
    <row r="66" spans="1:9" ht="14" customHeight="1" x14ac:dyDescent="0.15">
      <c r="A66" s="1235" t="s">
        <v>420</v>
      </c>
      <c r="B66" s="1462"/>
      <c r="C66" s="900" t="s">
        <v>421</v>
      </c>
      <c r="D66" s="848">
        <v>12600</v>
      </c>
      <c r="E66" s="825">
        <f>D66*(1+'Løntabel gældende fra'!$D$7/100)</f>
        <v>13544.647200000001</v>
      </c>
      <c r="F66" s="825">
        <f t="shared" si="2"/>
        <v>1128.7206000000001</v>
      </c>
      <c r="G66" s="829">
        <f t="shared" si="3"/>
        <v>189.62506080000003</v>
      </c>
    </row>
    <row r="67" spans="1:9" ht="15.75" customHeight="1" x14ac:dyDescent="0.15">
      <c r="A67" s="1235" t="s">
        <v>420</v>
      </c>
      <c r="B67" s="1462"/>
      <c r="C67" s="900" t="s">
        <v>419</v>
      </c>
      <c r="D67" s="848">
        <v>19500</v>
      </c>
      <c r="E67" s="825">
        <f>D67*(1+'Løntabel gældende fra'!$D$7/100)</f>
        <v>20961.954000000002</v>
      </c>
      <c r="F67" s="825">
        <f t="shared" si="2"/>
        <v>1746.8295000000001</v>
      </c>
      <c r="G67" s="829">
        <f t="shared" si="3"/>
        <v>293.46735600000005</v>
      </c>
    </row>
    <row r="68" spans="1:9" ht="32.25" customHeight="1" x14ac:dyDescent="0.15">
      <c r="A68" s="1235" t="s">
        <v>417</v>
      </c>
      <c r="B68" s="1462"/>
      <c r="C68" s="901" t="s">
        <v>418</v>
      </c>
      <c r="D68" s="893">
        <v>19500</v>
      </c>
      <c r="E68" s="825">
        <f>D68*(1+'Løntabel gældende fra'!$D$7/100)</f>
        <v>20961.954000000002</v>
      </c>
      <c r="F68" s="825">
        <f t="shared" si="2"/>
        <v>1746.8295000000001</v>
      </c>
      <c r="G68" s="829">
        <f t="shared" si="3"/>
        <v>293.46735600000005</v>
      </c>
    </row>
    <row r="69" spans="1:9" ht="29.25" customHeight="1" thickBot="1" x14ac:dyDescent="0.2">
      <c r="A69" s="1489" t="s">
        <v>417</v>
      </c>
      <c r="B69" s="1490"/>
      <c r="C69" s="902" t="s">
        <v>473</v>
      </c>
      <c r="D69" s="849">
        <v>39000</v>
      </c>
      <c r="E69" s="826">
        <f>D69*(1+'Løntabel gældende fra'!$D$7/100)</f>
        <v>41923.908000000003</v>
      </c>
      <c r="F69" s="826">
        <f t="shared" si="2"/>
        <v>3493.6590000000001</v>
      </c>
      <c r="G69" s="827">
        <f t="shared" si="3"/>
        <v>586.9347120000001</v>
      </c>
    </row>
    <row r="70" spans="1:9" ht="14" customHeight="1" thickBot="1" x14ac:dyDescent="0.2">
      <c r="A70" s="835"/>
      <c r="B70" s="835"/>
      <c r="C70" s="835"/>
      <c r="D70" s="835"/>
      <c r="E70" s="835"/>
      <c r="F70" s="835"/>
      <c r="G70" s="835"/>
      <c r="H70" s="819"/>
      <c r="I70" s="819"/>
    </row>
    <row r="71" spans="1:9" ht="16.5" customHeight="1" x14ac:dyDescent="0.2">
      <c r="A71" s="1175" t="s">
        <v>416</v>
      </c>
      <c r="B71" s="1176"/>
      <c r="C71" s="1176"/>
      <c r="D71" s="1176"/>
      <c r="E71" s="1176"/>
      <c r="F71" s="1176"/>
      <c r="G71" s="1177"/>
    </row>
    <row r="72" spans="1:9" ht="16" customHeight="1" thickBot="1" x14ac:dyDescent="0.25">
      <c r="A72" s="1387" t="s">
        <v>448</v>
      </c>
      <c r="B72" s="1388"/>
      <c r="C72" s="1388"/>
      <c r="D72" s="1388"/>
      <c r="E72" s="1388"/>
      <c r="F72" s="1388"/>
      <c r="G72" s="1389"/>
    </row>
    <row r="73" spans="1:9" ht="16.5" customHeight="1" x14ac:dyDescent="0.15">
      <c r="A73" s="1514" t="s">
        <v>137</v>
      </c>
      <c r="B73" s="1515"/>
      <c r="C73" s="1518" t="s">
        <v>390</v>
      </c>
      <c r="D73" s="1515"/>
      <c r="E73" s="1460" t="s">
        <v>408</v>
      </c>
      <c r="F73" s="1460"/>
      <c r="G73" s="1439"/>
    </row>
    <row r="74" spans="1:9" ht="15" customHeight="1" x14ac:dyDescent="0.15">
      <c r="A74" s="1516"/>
      <c r="B74" s="1517"/>
      <c r="C74" s="1519"/>
      <c r="D74" s="1517"/>
      <c r="E74" s="1461"/>
      <c r="F74" s="1461"/>
      <c r="G74" s="1441"/>
    </row>
    <row r="75" spans="1:9" ht="15" thickBot="1" x14ac:dyDescent="0.2">
      <c r="A75" s="1578">
        <v>40999</v>
      </c>
      <c r="B75" s="1579"/>
      <c r="C75" s="1580" t="str">
        <f>'Løntabel gældende fra'!$D$1</f>
        <v>01/10/2018</v>
      </c>
      <c r="D75" s="1581"/>
      <c r="E75" s="1577" t="s">
        <v>407</v>
      </c>
      <c r="F75" s="1577"/>
      <c r="G75" s="1443"/>
    </row>
    <row r="76" spans="1:9" ht="21.75" customHeight="1" thickBot="1" x14ac:dyDescent="0.2">
      <c r="A76" s="1399">
        <v>21900</v>
      </c>
      <c r="B76" s="1401"/>
      <c r="C76" s="1411">
        <f>A76*(1+'Løntabel gældende fra'!$D$7/100)</f>
        <v>23541.8868</v>
      </c>
      <c r="D76" s="1401"/>
      <c r="E76" s="1570">
        <f>C76*0.168</f>
        <v>3955.0369824000004</v>
      </c>
      <c r="F76" s="1570"/>
      <c r="G76" s="1571"/>
    </row>
    <row r="77" spans="1:9" ht="16.5" customHeight="1" x14ac:dyDescent="0.2">
      <c r="A77" s="7" t="s">
        <v>415</v>
      </c>
      <c r="B77" s="828"/>
      <c r="C77" s="828"/>
      <c r="D77" s="828"/>
      <c r="E77" s="828"/>
      <c r="F77" s="828"/>
      <c r="G77" s="828"/>
    </row>
    <row r="78" spans="1:9" ht="21" customHeight="1" thickBot="1" x14ac:dyDescent="0.2">
      <c r="A78" s="14"/>
      <c r="B78" s="14"/>
      <c r="C78" s="14"/>
      <c r="D78" s="14"/>
      <c r="E78" s="14"/>
      <c r="F78" s="14"/>
      <c r="G78" s="14"/>
    </row>
    <row r="79" spans="1:9" ht="19.5" customHeight="1" x14ac:dyDescent="0.2">
      <c r="A79" s="1384" t="s">
        <v>414</v>
      </c>
      <c r="B79" s="1385"/>
      <c r="C79" s="1385"/>
      <c r="D79" s="1385"/>
      <c r="E79" s="1385"/>
      <c r="F79" s="1385"/>
      <c r="G79" s="1386"/>
    </row>
    <row r="80" spans="1:9" ht="20.25" customHeight="1" thickBot="1" x14ac:dyDescent="0.25">
      <c r="A80" s="1387" t="s">
        <v>449</v>
      </c>
      <c r="B80" s="1388"/>
      <c r="C80" s="1388"/>
      <c r="D80" s="1388"/>
      <c r="E80" s="1388"/>
      <c r="F80" s="1388"/>
      <c r="G80" s="1389"/>
    </row>
    <row r="81" spans="1:10" ht="12.75" customHeight="1" x14ac:dyDescent="0.15">
      <c r="A81" s="1390" t="s">
        <v>137</v>
      </c>
      <c r="B81" s="1391"/>
      <c r="C81" s="1391"/>
      <c r="D81" s="1392"/>
      <c r="E81" s="1402" t="s">
        <v>390</v>
      </c>
      <c r="F81" s="1403"/>
      <c r="G81" s="1404"/>
    </row>
    <row r="82" spans="1:10" ht="11.25" customHeight="1" x14ac:dyDescent="0.15">
      <c r="A82" s="1393"/>
      <c r="B82" s="1394"/>
      <c r="C82" s="1394"/>
      <c r="D82" s="1395"/>
      <c r="E82" s="1405"/>
      <c r="F82" s="1406"/>
      <c r="G82" s="1407"/>
    </row>
    <row r="83" spans="1:10" ht="12.75" customHeight="1" thickBot="1" x14ac:dyDescent="0.2">
      <c r="A83" s="1396">
        <v>40999</v>
      </c>
      <c r="B83" s="1397"/>
      <c r="C83" s="1397"/>
      <c r="D83" s="1398"/>
      <c r="E83" s="1408" t="str">
        <f>'Løntabel gældende fra'!$D$1</f>
        <v>01/10/2018</v>
      </c>
      <c r="F83" s="1409"/>
      <c r="G83" s="1410"/>
      <c r="J83" s="820"/>
    </row>
    <row r="84" spans="1:10" ht="17.25" customHeight="1" thickBot="1" x14ac:dyDescent="0.2">
      <c r="A84" s="1399">
        <v>8800</v>
      </c>
      <c r="B84" s="1400"/>
      <c r="C84" s="1400"/>
      <c r="D84" s="1401"/>
      <c r="E84" s="1411">
        <f>A84*(1+'Løntabel gældende fra'!$D$7/100)</f>
        <v>9459.7536</v>
      </c>
      <c r="F84" s="1400"/>
      <c r="G84" s="1412"/>
      <c r="J84" s="819"/>
    </row>
    <row r="85" spans="1:10" s="27" customFormat="1" ht="17.25" customHeight="1" thickBot="1" x14ac:dyDescent="0.2">
      <c r="A85" s="256"/>
      <c r="B85" s="256"/>
      <c r="C85" s="256"/>
      <c r="D85" s="256"/>
      <c r="E85" s="256"/>
      <c r="F85" s="256"/>
      <c r="G85" s="256"/>
      <c r="J85" s="819"/>
    </row>
    <row r="86" spans="1:10" ht="21" customHeight="1" thickBot="1" x14ac:dyDescent="0.2">
      <c r="A86" s="1469" t="s">
        <v>450</v>
      </c>
      <c r="B86" s="1470"/>
      <c r="C86" s="1470"/>
      <c r="D86" s="1470"/>
      <c r="E86" s="1470"/>
      <c r="F86" s="1470"/>
      <c r="G86" s="1471"/>
      <c r="J86" s="819"/>
    </row>
    <row r="87" spans="1:10" s="27" customFormat="1" ht="12.75" customHeight="1" thickBot="1" x14ac:dyDescent="0.2">
      <c r="A87" s="845"/>
      <c r="B87" s="845"/>
      <c r="C87" s="845"/>
      <c r="D87" s="845"/>
      <c r="E87" s="845"/>
      <c r="F87" s="845"/>
      <c r="G87" s="845"/>
    </row>
    <row r="88" spans="1:10" ht="17.25" customHeight="1" x14ac:dyDescent="0.2">
      <c r="A88" s="1472" t="s">
        <v>404</v>
      </c>
      <c r="B88" s="1473"/>
      <c r="C88" s="1473"/>
      <c r="D88" s="1473"/>
      <c r="E88" s="1473"/>
      <c r="F88" s="1473"/>
      <c r="G88" s="1474"/>
      <c r="H88" s="27"/>
    </row>
    <row r="89" spans="1:10" ht="17" thickBot="1" x14ac:dyDescent="0.25">
      <c r="A89" s="1505" t="s">
        <v>472</v>
      </c>
      <c r="B89" s="1506"/>
      <c r="C89" s="1506"/>
      <c r="D89" s="1506"/>
      <c r="E89" s="1507"/>
      <c r="F89" s="1507"/>
      <c r="G89" s="1508"/>
      <c r="H89" s="27"/>
    </row>
    <row r="90" spans="1:10" ht="15" customHeight="1" x14ac:dyDescent="0.15">
      <c r="A90" s="1368" t="s">
        <v>57</v>
      </c>
      <c r="B90" s="1456" t="s">
        <v>137</v>
      </c>
      <c r="C90" s="1416" t="s">
        <v>390</v>
      </c>
      <c r="D90" s="1418" t="s">
        <v>454</v>
      </c>
      <c r="E90" s="1423" t="s">
        <v>94</v>
      </c>
      <c r="F90" s="1416"/>
      <c r="G90" s="1595"/>
      <c r="H90" s="871"/>
      <c r="I90" s="871"/>
    </row>
    <row r="91" spans="1:10" ht="14" customHeight="1" x14ac:dyDescent="0.15">
      <c r="A91" s="1509"/>
      <c r="B91" s="1457"/>
      <c r="C91" s="1417"/>
      <c r="D91" s="1419"/>
      <c r="E91" s="1424"/>
      <c r="F91" s="1417"/>
      <c r="G91" s="1596"/>
    </row>
    <row r="92" spans="1:10" ht="15.75" customHeight="1" thickBot="1" x14ac:dyDescent="0.2">
      <c r="A92" s="1510"/>
      <c r="B92" s="908">
        <v>40999</v>
      </c>
      <c r="C92" s="909" t="str">
        <f>'Løntabel gældende fra'!$D$1</f>
        <v>01/10/2018</v>
      </c>
      <c r="D92" s="971" t="str">
        <f>C92</f>
        <v>01/10/2018</v>
      </c>
      <c r="E92" s="1592" t="s">
        <v>403</v>
      </c>
      <c r="F92" s="1593"/>
      <c r="G92" s="1594"/>
    </row>
    <row r="93" spans="1:10" ht="17.25" customHeight="1" thickBot="1" x14ac:dyDescent="0.2">
      <c r="A93" s="904">
        <v>50</v>
      </c>
      <c r="B93" s="903">
        <v>521094</v>
      </c>
      <c r="C93" s="905">
        <f>B93*(1+'Løntabel gældende fra'!$D$7/100)</f>
        <v>560161.45936800004</v>
      </c>
      <c r="D93" s="906">
        <f>C93/12</f>
        <v>46680.121614000003</v>
      </c>
      <c r="E93" s="1572">
        <f>D93*0.171</f>
        <v>7982.3007959940014</v>
      </c>
      <c r="F93" s="1573"/>
      <c r="G93" s="1574"/>
    </row>
    <row r="94" spans="1:10" ht="20.25" customHeight="1" x14ac:dyDescent="0.15">
      <c r="A94" s="1493" t="s">
        <v>488</v>
      </c>
      <c r="B94" s="1493"/>
      <c r="C94" s="1493"/>
      <c r="D94" s="1493"/>
      <c r="E94" s="1494"/>
      <c r="F94" s="1494"/>
      <c r="G94" s="1494"/>
      <c r="H94" s="819"/>
      <c r="I94" s="819"/>
    </row>
    <row r="95" spans="1:10" ht="32.25" customHeight="1" thickBot="1" x14ac:dyDescent="0.2">
      <c r="A95" s="1495"/>
      <c r="B95" s="1495"/>
      <c r="C95" s="1495"/>
      <c r="D95" s="1495"/>
      <c r="E95" s="1495"/>
      <c r="F95" s="1495"/>
      <c r="G95" s="1495"/>
      <c r="H95" s="819"/>
      <c r="I95" s="819"/>
    </row>
    <row r="96" spans="1:10" ht="21.75" customHeight="1" thickBot="1" x14ac:dyDescent="0.25">
      <c r="A96" s="1413" t="s">
        <v>413</v>
      </c>
      <c r="B96" s="1414"/>
      <c r="C96" s="1414"/>
      <c r="D96" s="1414"/>
      <c r="E96" s="1414"/>
      <c r="F96" s="1414"/>
      <c r="G96" s="1415"/>
      <c r="H96" s="820"/>
    </row>
    <row r="97" spans="1:8" ht="12.75" customHeight="1" x14ac:dyDescent="0.15">
      <c r="A97" s="1477" t="s">
        <v>412</v>
      </c>
      <c r="B97" s="1480" t="s">
        <v>451</v>
      </c>
      <c r="C97" s="1481"/>
      <c r="D97" s="1482"/>
      <c r="E97" s="1496" t="s">
        <v>451</v>
      </c>
      <c r="F97" s="1497"/>
      <c r="G97" s="1498"/>
      <c r="H97" s="819"/>
    </row>
    <row r="98" spans="1:8" ht="21" customHeight="1" x14ac:dyDescent="0.15">
      <c r="A98" s="1478"/>
      <c r="B98" s="1483">
        <v>40999</v>
      </c>
      <c r="C98" s="1484"/>
      <c r="D98" s="1485"/>
      <c r="E98" s="1499" t="str">
        <f>'Løntabel gældende fra'!$D$1</f>
        <v>01/10/2018</v>
      </c>
      <c r="F98" s="1500"/>
      <c r="G98" s="1501"/>
    </row>
    <row r="99" spans="1:8" ht="16.5" customHeight="1" x14ac:dyDescent="0.15">
      <c r="A99" s="1478"/>
      <c r="B99" s="1486"/>
      <c r="C99" s="1487"/>
      <c r="D99" s="1488"/>
      <c r="E99" s="1502"/>
      <c r="F99" s="1503"/>
      <c r="G99" s="1504"/>
    </row>
    <row r="100" spans="1:8" ht="19.5" customHeight="1" thickBot="1" x14ac:dyDescent="0.2">
      <c r="A100" s="1479"/>
      <c r="B100" s="1425" t="s">
        <v>452</v>
      </c>
      <c r="C100" s="1426"/>
      <c r="D100" s="915" t="s">
        <v>453</v>
      </c>
      <c r="E100" s="1426" t="s">
        <v>452</v>
      </c>
      <c r="F100" s="1426"/>
      <c r="G100" s="916" t="s">
        <v>453</v>
      </c>
    </row>
    <row r="101" spans="1:8" ht="14.25" customHeight="1" x14ac:dyDescent="0.15">
      <c r="A101" s="924">
        <v>1</v>
      </c>
      <c r="B101" s="1427">
        <v>485345</v>
      </c>
      <c r="C101" s="1428"/>
      <c r="D101" s="913">
        <v>511173</v>
      </c>
      <c r="E101" s="1475">
        <f>B101*(1+'Løntabel gældende fra'!$D$7/100)</f>
        <v>521732.28534</v>
      </c>
      <c r="F101" s="1475"/>
      <c r="G101" s="914">
        <f>D101*(1+'Løntabel gældende fra'!$D$7/100)</f>
        <v>549496.66215600003</v>
      </c>
    </row>
    <row r="102" spans="1:8" ht="17" thickBot="1" x14ac:dyDescent="0.2">
      <c r="A102" s="912">
        <v>2</v>
      </c>
      <c r="B102" s="1491">
        <v>450909</v>
      </c>
      <c r="C102" s="1492"/>
      <c r="D102" s="910">
        <v>472431</v>
      </c>
      <c r="E102" s="1476">
        <f>B102*(1+'Løntabel gældende fra'!$D$7/100)</f>
        <v>484714.54954800004</v>
      </c>
      <c r="F102" s="1476"/>
      <c r="G102" s="911">
        <f>D102*(1+'Løntabel gældende fra'!$D$7/100)</f>
        <v>507850.09693200001</v>
      </c>
    </row>
    <row r="103" spans="1:8" x14ac:dyDescent="0.15">
      <c r="A103" s="1554" t="s">
        <v>487</v>
      </c>
      <c r="B103" s="1554"/>
      <c r="C103" s="1554"/>
      <c r="D103" s="1554"/>
      <c r="E103" s="1554"/>
      <c r="F103" s="1554"/>
      <c r="G103" s="1554"/>
    </row>
    <row r="104" spans="1:8" ht="18" customHeight="1" thickBot="1" x14ac:dyDescent="0.2">
      <c r="A104" s="27"/>
    </row>
    <row r="105" spans="1:8" ht="19" thickBot="1" x14ac:dyDescent="0.25">
      <c r="A105" s="1420" t="s">
        <v>411</v>
      </c>
      <c r="B105" s="1421"/>
      <c r="C105" s="1421"/>
      <c r="D105" s="1421"/>
      <c r="E105" s="1421"/>
      <c r="F105" s="1421"/>
      <c r="G105" s="1422"/>
    </row>
    <row r="106" spans="1:8" ht="26.25" customHeight="1" x14ac:dyDescent="0.15">
      <c r="A106" s="1453" t="s">
        <v>281</v>
      </c>
      <c r="B106" s="1423" t="s">
        <v>137</v>
      </c>
      <c r="C106" s="1416" t="s">
        <v>390</v>
      </c>
      <c r="D106" s="1376" t="s">
        <v>301</v>
      </c>
      <c r="E106" s="1416" t="s">
        <v>408</v>
      </c>
      <c r="F106" s="1416"/>
      <c r="G106" s="1595"/>
    </row>
    <row r="107" spans="1:8" ht="21.75" customHeight="1" x14ac:dyDescent="0.15">
      <c r="A107" s="1454"/>
      <c r="B107" s="1424"/>
      <c r="C107" s="1417"/>
      <c r="D107" s="1377"/>
      <c r="E107" s="1417"/>
      <c r="F107" s="1417"/>
      <c r="G107" s="1596"/>
    </row>
    <row r="108" spans="1:8" ht="18" customHeight="1" thickBot="1" x14ac:dyDescent="0.2">
      <c r="A108" s="1454"/>
      <c r="B108" s="918">
        <v>40999</v>
      </c>
      <c r="C108" s="909" t="str">
        <f>'Løntabel gældende fra'!$D$1</f>
        <v>01/10/2018</v>
      </c>
      <c r="D108" s="909" t="str">
        <f>C108</f>
        <v>01/10/2018</v>
      </c>
      <c r="E108" s="1597" t="s">
        <v>407</v>
      </c>
      <c r="F108" s="1597"/>
      <c r="G108" s="1598"/>
    </row>
    <row r="109" spans="1:8" ht="17.25" customHeight="1" thickBot="1" x14ac:dyDescent="0.2">
      <c r="A109" s="1455"/>
      <c r="B109" s="917">
        <v>460000</v>
      </c>
      <c r="C109" s="907">
        <f>B109*(1+'Løntabel gældende fra'!$D$7/100)</f>
        <v>494487.12</v>
      </c>
      <c r="D109" s="906">
        <f>C109/12</f>
        <v>41207.26</v>
      </c>
      <c r="E109" s="1378">
        <f>D109*0.168</f>
        <v>6922.8196800000005</v>
      </c>
      <c r="F109" s="1379"/>
      <c r="G109" s="1380"/>
    </row>
    <row r="110" spans="1:8" ht="17.25" customHeight="1" thickBot="1" x14ac:dyDescent="0.2">
      <c r="A110" s="858"/>
      <c r="B110" s="846"/>
      <c r="C110" s="846"/>
      <c r="D110" s="846"/>
      <c r="E110" s="847"/>
      <c r="F110" s="847"/>
      <c r="G110" s="847"/>
    </row>
    <row r="111" spans="1:8" ht="17.25" customHeight="1" x14ac:dyDescent="0.2">
      <c r="A111" s="1381" t="s">
        <v>410</v>
      </c>
      <c r="B111" s="1382"/>
      <c r="C111" s="1382"/>
      <c r="D111" s="1382"/>
      <c r="E111" s="1382"/>
      <c r="F111" s="1382"/>
      <c r="G111" s="1383"/>
    </row>
    <row r="112" spans="1:8" ht="19.5" customHeight="1" thickBot="1" x14ac:dyDescent="0.2">
      <c r="A112" s="1365" t="s">
        <v>409</v>
      </c>
      <c r="B112" s="1366"/>
      <c r="C112" s="1366"/>
      <c r="D112" s="1366"/>
      <c r="E112" s="1366"/>
      <c r="F112" s="1366"/>
      <c r="G112" s="1367"/>
    </row>
    <row r="113" spans="1:9" ht="20.25" customHeight="1" x14ac:dyDescent="0.15">
      <c r="A113" s="1368" t="s">
        <v>118</v>
      </c>
      <c r="B113" s="1370" t="s">
        <v>137</v>
      </c>
      <c r="C113" s="1372" t="s">
        <v>390</v>
      </c>
      <c r="D113" s="1374" t="s">
        <v>301</v>
      </c>
      <c r="E113" s="1416" t="s">
        <v>408</v>
      </c>
      <c r="F113" s="1416"/>
      <c r="G113" s="1595"/>
    </row>
    <row r="114" spans="1:9" ht="20.25" customHeight="1" x14ac:dyDescent="0.15">
      <c r="A114" s="1369"/>
      <c r="B114" s="1371"/>
      <c r="C114" s="1373"/>
      <c r="D114" s="1375"/>
      <c r="E114" s="1417"/>
      <c r="F114" s="1417"/>
      <c r="G114" s="1596"/>
    </row>
    <row r="115" spans="1:9" ht="21" customHeight="1" thickBot="1" x14ac:dyDescent="0.2">
      <c r="A115" s="923"/>
      <c r="B115" s="908">
        <v>40999</v>
      </c>
      <c r="C115" s="909" t="str">
        <f>'Løntabel gældende fra'!$D$1</f>
        <v>01/10/2018</v>
      </c>
      <c r="D115" s="909" t="str">
        <f>C115</f>
        <v>01/10/2018</v>
      </c>
      <c r="E115" s="1593" t="s">
        <v>407</v>
      </c>
      <c r="F115" s="1593"/>
      <c r="G115" s="1594"/>
    </row>
    <row r="116" spans="1:9" ht="19.5" customHeight="1" x14ac:dyDescent="0.15">
      <c r="A116" s="921" t="s">
        <v>406</v>
      </c>
      <c r="B116" s="919">
        <v>131590</v>
      </c>
      <c r="C116" s="935">
        <f>B116*(1+'Løntabel gældende fra'!$D$7/100)</f>
        <v>141455.56548000002</v>
      </c>
      <c r="D116" s="935">
        <f>C116/12</f>
        <v>11787.963790000002</v>
      </c>
      <c r="E116" s="1582">
        <f>D116*0.168</f>
        <v>1980.3779167200005</v>
      </c>
      <c r="F116" s="1582"/>
      <c r="G116" s="1583"/>
    </row>
    <row r="117" spans="1:9" ht="15.75" customHeight="1" thickBot="1" x14ac:dyDescent="0.2">
      <c r="A117" s="922" t="s">
        <v>405</v>
      </c>
      <c r="B117" s="920">
        <v>150988</v>
      </c>
      <c r="C117" s="934">
        <f>B117*(1+'Løntabel gældende fra'!$D$7/100)</f>
        <v>162307.872336</v>
      </c>
      <c r="D117" s="934">
        <f>C117/12</f>
        <v>13525.656027999999</v>
      </c>
      <c r="E117" s="1584">
        <f>D117*0.168</f>
        <v>2272.3102127040002</v>
      </c>
      <c r="F117" s="1584"/>
      <c r="G117" s="1585"/>
    </row>
    <row r="118" spans="1:9" x14ac:dyDescent="0.15">
      <c r="A118" s="940" t="s">
        <v>460</v>
      </c>
      <c r="B118" s="842"/>
      <c r="C118" s="842"/>
      <c r="D118" s="842"/>
      <c r="E118" s="842"/>
      <c r="F118" s="842"/>
      <c r="G118" s="842"/>
      <c r="H118" s="844"/>
      <c r="I118" s="844"/>
    </row>
    <row r="119" spans="1:9" ht="15" customHeight="1" thickBot="1" x14ac:dyDescent="0.2"/>
    <row r="120" spans="1:9" ht="19" thickBot="1" x14ac:dyDescent="0.2">
      <c r="A120" s="1215" t="s">
        <v>522</v>
      </c>
      <c r="B120" s="1216"/>
      <c r="C120" s="1216"/>
      <c r="D120" s="1216"/>
      <c r="E120" s="1216"/>
      <c r="F120" s="1217"/>
    </row>
    <row r="121" spans="1:9" ht="16" customHeight="1" thickBot="1" x14ac:dyDescent="0.2">
      <c r="A121" s="985"/>
      <c r="B121" s="988"/>
      <c r="C121" s="1363" t="s">
        <v>37</v>
      </c>
      <c r="D121" s="1363"/>
      <c r="E121" s="1363"/>
      <c r="F121" s="1364"/>
    </row>
    <row r="122" spans="1:9" ht="14" customHeight="1" x14ac:dyDescent="0.15">
      <c r="A122" s="986"/>
      <c r="B122" s="989"/>
      <c r="C122" s="1361" t="s">
        <v>34</v>
      </c>
      <c r="D122" s="1361" t="s">
        <v>106</v>
      </c>
      <c r="E122" s="1361" t="s">
        <v>107</v>
      </c>
      <c r="F122" s="1361" t="s">
        <v>108</v>
      </c>
    </row>
    <row r="123" spans="1:9" ht="32" customHeight="1" thickBot="1" x14ac:dyDescent="0.2">
      <c r="A123" s="987"/>
      <c r="B123" s="990"/>
      <c r="C123" s="1362"/>
      <c r="D123" s="1362"/>
      <c r="E123" s="1362"/>
      <c r="F123" s="1362"/>
    </row>
    <row r="124" spans="1:9" ht="15" customHeight="1" x14ac:dyDescent="0.15">
      <c r="A124" s="1355" t="s">
        <v>35</v>
      </c>
      <c r="B124" s="1356"/>
      <c r="C124" s="977">
        <v>83.85</v>
      </c>
      <c r="D124" s="991">
        <v>55.9</v>
      </c>
      <c r="E124" s="978">
        <v>27.95</v>
      </c>
      <c r="F124" s="983">
        <v>0</v>
      </c>
    </row>
    <row r="125" spans="1:9" ht="16" customHeight="1" thickBot="1" x14ac:dyDescent="0.2">
      <c r="A125" s="1357" t="s">
        <v>36</v>
      </c>
      <c r="B125" s="1358"/>
      <c r="C125" s="979">
        <v>167.75</v>
      </c>
      <c r="D125" s="992">
        <v>111.85</v>
      </c>
      <c r="E125" s="980">
        <v>55.9</v>
      </c>
      <c r="F125" s="983">
        <v>0</v>
      </c>
    </row>
    <row r="126" spans="1:9" ht="16" customHeight="1" thickBot="1" x14ac:dyDescent="0.2">
      <c r="A126" s="1359" t="s">
        <v>22</v>
      </c>
      <c r="B126" s="1360"/>
      <c r="C126" s="981">
        <v>251.6</v>
      </c>
      <c r="D126" s="993">
        <v>167.75</v>
      </c>
      <c r="E126" s="982">
        <v>83.85</v>
      </c>
      <c r="F126" s="984">
        <v>0</v>
      </c>
    </row>
  </sheetData>
  <sheetProtection sheet="1" objects="1" scenarios="1"/>
  <mergeCells count="161">
    <mergeCell ref="E116:G116"/>
    <mergeCell ref="E117:G117"/>
    <mergeCell ref="A28:B28"/>
    <mergeCell ref="F26:G27"/>
    <mergeCell ref="F28:G28"/>
    <mergeCell ref="F10:G10"/>
    <mergeCell ref="F8:G9"/>
    <mergeCell ref="E75:G75"/>
    <mergeCell ref="E73:G74"/>
    <mergeCell ref="E92:G92"/>
    <mergeCell ref="E90:G91"/>
    <mergeCell ref="E108:G108"/>
    <mergeCell ref="E106:G107"/>
    <mergeCell ref="E113:G114"/>
    <mergeCell ref="E115:G115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  <mergeCell ref="A1:G1"/>
    <mergeCell ref="A6:G6"/>
    <mergeCell ref="A7:G7"/>
    <mergeCell ref="A60:G60"/>
    <mergeCell ref="A103:G103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3:G93"/>
    <mergeCell ref="G61:G62"/>
    <mergeCell ref="C61:C63"/>
    <mergeCell ref="A61:B63"/>
    <mergeCell ref="A75:B75"/>
    <mergeCell ref="C75:D75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59:G59"/>
    <mergeCell ref="B102:C102"/>
    <mergeCell ref="A94:G95"/>
    <mergeCell ref="E97:G97"/>
    <mergeCell ref="E98:G99"/>
    <mergeCell ref="E100:F100"/>
    <mergeCell ref="A89:G89"/>
    <mergeCell ref="A90:A92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A106:A109"/>
    <mergeCell ref="B90:B91"/>
    <mergeCell ref="C8:C9"/>
    <mergeCell ref="D8:D9"/>
    <mergeCell ref="E8:E9"/>
    <mergeCell ref="A65:B65"/>
    <mergeCell ref="E21:F21"/>
    <mergeCell ref="B22:C22"/>
    <mergeCell ref="A26:B27"/>
    <mergeCell ref="A64:B64"/>
    <mergeCell ref="C106:C107"/>
    <mergeCell ref="A86:G86"/>
    <mergeCell ref="A88:G88"/>
    <mergeCell ref="E101:F101"/>
    <mergeCell ref="E102:F102"/>
    <mergeCell ref="A97:A100"/>
    <mergeCell ref="B97:D97"/>
    <mergeCell ref="B98:D99"/>
    <mergeCell ref="A37:G37"/>
    <mergeCell ref="A34:B34"/>
    <mergeCell ref="A69:B69"/>
    <mergeCell ref="A68:B68"/>
    <mergeCell ref="A67:B67"/>
    <mergeCell ref="A66:B66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12:G112"/>
    <mergeCell ref="A113:A114"/>
    <mergeCell ref="B113:B114"/>
    <mergeCell ref="C113:C114"/>
    <mergeCell ref="D113:D114"/>
    <mergeCell ref="D106:D107"/>
    <mergeCell ref="E109:G109"/>
    <mergeCell ref="A71:G71"/>
    <mergeCell ref="A111:G111"/>
    <mergeCell ref="A79:G79"/>
    <mergeCell ref="A80:G80"/>
    <mergeCell ref="A81:D82"/>
    <mergeCell ref="A83:D83"/>
    <mergeCell ref="A84:D84"/>
    <mergeCell ref="E81:G82"/>
    <mergeCell ref="E83:G83"/>
    <mergeCell ref="E84:G84"/>
    <mergeCell ref="A96:G96"/>
    <mergeCell ref="C90:C91"/>
    <mergeCell ref="D90:D91"/>
    <mergeCell ref="A105:G105"/>
    <mergeCell ref="B106:B107"/>
    <mergeCell ref="B100:C100"/>
    <mergeCell ref="B101:C101"/>
    <mergeCell ref="A124:B124"/>
    <mergeCell ref="A125:B125"/>
    <mergeCell ref="A126:B126"/>
    <mergeCell ref="C122:C123"/>
    <mergeCell ref="D122:D123"/>
    <mergeCell ref="E122:E123"/>
    <mergeCell ref="F122:F123"/>
    <mergeCell ref="A120:F120"/>
    <mergeCell ref="C121:F121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headerFooter>
    <oddFooter>&amp;CLøntabel for lærere, pædagogiske ledere og rektorer ved gymnasieskolen_x000D_&amp;RSide  &amp;P af i alt &amp;N</oddFooter>
  </headerFooter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87"/>
  <sheetViews>
    <sheetView view="pageBreakPreview" zoomScaleSheetLayoutView="100" workbookViewId="0">
      <selection activeCell="A68" sqref="A68:XFD72"/>
    </sheetView>
  </sheetViews>
  <sheetFormatPr baseColWidth="10" defaultColWidth="8.83203125" defaultRowHeight="14" x14ac:dyDescent="0.15"/>
  <cols>
    <col min="1" max="1" width="10" style="265" customWidth="1"/>
    <col min="2" max="8" width="17" style="265" customWidth="1"/>
    <col min="9" max="16384" width="8.83203125" style="265"/>
  </cols>
  <sheetData>
    <row r="1" spans="1:8" ht="20" x14ac:dyDescent="0.2">
      <c r="A1" s="1187" t="s">
        <v>19</v>
      </c>
      <c r="B1" s="1188"/>
      <c r="C1" s="1188"/>
      <c r="D1" s="1188"/>
      <c r="E1" s="1188"/>
      <c r="F1" s="1188"/>
      <c r="G1" s="1188"/>
      <c r="H1" s="1189"/>
    </row>
    <row r="2" spans="1:8" ht="20" x14ac:dyDescent="0.2">
      <c r="A2" s="1198" t="s">
        <v>179</v>
      </c>
      <c r="B2" s="1199"/>
      <c r="C2" s="1199"/>
      <c r="D2" s="1199"/>
      <c r="E2" s="1199"/>
      <c r="F2" s="1199"/>
      <c r="G2" s="1199"/>
      <c r="H2" s="1200"/>
    </row>
    <row r="3" spans="1:8" ht="21" thickBot="1" x14ac:dyDescent="0.25">
      <c r="A3" s="1314" t="str">
        <f>'Forside 1'!A6:I6</f>
        <v>Gældende fra 1. oktober 2018</v>
      </c>
      <c r="B3" s="1315"/>
      <c r="C3" s="1315"/>
      <c r="D3" s="1315"/>
      <c r="E3" s="1315"/>
      <c r="F3" s="1315"/>
      <c r="G3" s="1315"/>
      <c r="H3" s="1316"/>
    </row>
    <row r="4" spans="1:8" s="636" customFormat="1" ht="18.75" customHeight="1" thickBot="1" x14ac:dyDescent="0.2">
      <c r="A4" s="843"/>
      <c r="B4" s="843"/>
      <c r="C4" s="843"/>
      <c r="D4" s="843"/>
      <c r="E4" s="843"/>
      <c r="F4" s="843"/>
      <c r="G4" s="843"/>
      <c r="H4" s="843"/>
    </row>
    <row r="5" spans="1:8" ht="41.25" customHeight="1" thickBot="1" x14ac:dyDescent="0.2">
      <c r="A5" s="1636" t="s">
        <v>338</v>
      </c>
      <c r="B5" s="1637"/>
      <c r="C5" s="1637"/>
      <c r="D5" s="1637"/>
      <c r="E5" s="1637"/>
      <c r="F5" s="1638"/>
      <c r="G5" s="1649" t="s">
        <v>94</v>
      </c>
      <c r="H5" s="1650"/>
    </row>
    <row r="6" spans="1:8" ht="26" customHeight="1" thickBot="1" x14ac:dyDescent="0.2">
      <c r="A6" s="1646" t="s">
        <v>354</v>
      </c>
      <c r="B6" s="1647"/>
      <c r="C6" s="1647"/>
      <c r="D6" s="1647"/>
      <c r="E6" s="1647"/>
      <c r="F6" s="1647"/>
      <c r="G6" s="1647"/>
      <c r="H6" s="1648"/>
    </row>
    <row r="7" spans="1:8" x14ac:dyDescent="0.15">
      <c r="A7" s="939" t="s">
        <v>57</v>
      </c>
      <c r="B7" s="939" t="s">
        <v>76</v>
      </c>
      <c r="C7" s="939" t="s">
        <v>77</v>
      </c>
      <c r="D7" s="939" t="s">
        <v>78</v>
      </c>
      <c r="E7" s="939" t="s">
        <v>79</v>
      </c>
      <c r="F7" s="939" t="s">
        <v>80</v>
      </c>
      <c r="G7" s="939" t="s">
        <v>250</v>
      </c>
      <c r="H7" s="928">
        <v>0.14699999999999999</v>
      </c>
    </row>
    <row r="8" spans="1:8" ht="16" x14ac:dyDescent="0.2">
      <c r="A8" s="749">
        <v>14</v>
      </c>
      <c r="B8" s="750">
        <f>+'Statens skalatrin'!D46</f>
        <v>20389.580000000002</v>
      </c>
      <c r="C8" s="750">
        <f>+'Statens skalatrin'!F46</f>
        <v>20814.25</v>
      </c>
      <c r="D8" s="750">
        <f>+'Statens skalatrin'!H46</f>
        <v>21108.17</v>
      </c>
      <c r="E8" s="750">
        <f>+'Statens skalatrin'!J46</f>
        <v>21532.67</v>
      </c>
      <c r="F8" s="750">
        <f>+'Statens skalatrin'!L46</f>
        <v>21826.58</v>
      </c>
      <c r="G8" s="751">
        <f>+'Statens skalatrin'!O46</f>
        <v>19063.66</v>
      </c>
      <c r="H8" s="751">
        <f t="shared" ref="H8:H32" si="0">G8*$H$7</f>
        <v>2802.3580199999997</v>
      </c>
    </row>
    <row r="9" spans="1:8" ht="16" x14ac:dyDescent="0.2">
      <c r="A9" s="749">
        <v>15</v>
      </c>
      <c r="B9" s="750">
        <f>+'Statens skalatrin'!D49</f>
        <v>20751.330000000002</v>
      </c>
      <c r="C9" s="750">
        <f>+'Statens skalatrin'!F49</f>
        <v>21186.5</v>
      </c>
      <c r="D9" s="750">
        <f>+'Statens skalatrin'!H49</f>
        <v>21487.83</v>
      </c>
      <c r="E9" s="750">
        <f>+'Statens skalatrin'!J49</f>
        <v>21923.17</v>
      </c>
      <c r="F9" s="750">
        <f>+'Statens skalatrin'!L49</f>
        <v>22224.5</v>
      </c>
      <c r="G9" s="751">
        <f>+'Statens skalatrin'!O49</f>
        <v>19402.5</v>
      </c>
      <c r="H9" s="751">
        <f t="shared" si="0"/>
        <v>2852.1675</v>
      </c>
    </row>
    <row r="10" spans="1:8" ht="16" x14ac:dyDescent="0.2">
      <c r="A10" s="749">
        <v>16</v>
      </c>
      <c r="B10" s="750">
        <f>'Statens skalatrin'!D52</f>
        <v>21028.5</v>
      </c>
      <c r="C10" s="750">
        <f>+'Statens skalatrin'!F52</f>
        <v>21474.83</v>
      </c>
      <c r="D10" s="750">
        <f>+'Statens skalatrin'!H52</f>
        <v>21783.83</v>
      </c>
      <c r="E10" s="750">
        <f>+'Statens skalatrin'!J52</f>
        <v>22230.080000000002</v>
      </c>
      <c r="F10" s="750">
        <f>+'Statens skalatrin'!L52</f>
        <v>22539.08</v>
      </c>
      <c r="G10" s="751">
        <f>+'Statens skalatrin'!O52</f>
        <v>19750.87</v>
      </c>
      <c r="H10" s="751">
        <f t="shared" si="0"/>
        <v>2903.3778899999998</v>
      </c>
    </row>
    <row r="11" spans="1:8" ht="16" x14ac:dyDescent="0.2">
      <c r="A11" s="749">
        <v>17</v>
      </c>
      <c r="B11" s="750">
        <f>'Statens skalatrin'!D55</f>
        <v>21410.33</v>
      </c>
      <c r="C11" s="750">
        <f>+'Statens skalatrin'!F55</f>
        <v>21868</v>
      </c>
      <c r="D11" s="750">
        <f>+'Statens skalatrin'!H55</f>
        <v>22184.83</v>
      </c>
      <c r="E11" s="750">
        <f>+'Statens skalatrin'!J55</f>
        <v>22642.42</v>
      </c>
      <c r="F11" s="750">
        <f>+'Statens skalatrin'!L55</f>
        <v>22959.08</v>
      </c>
      <c r="G11" s="751">
        <f>+'Statens skalatrin'!O55</f>
        <v>20108.61</v>
      </c>
      <c r="H11" s="751">
        <f t="shared" si="0"/>
        <v>2955.96567</v>
      </c>
    </row>
    <row r="12" spans="1:8" ht="16" x14ac:dyDescent="0.2">
      <c r="A12" s="749">
        <v>18</v>
      </c>
      <c r="B12" s="750">
        <f>'Statens skalatrin'!D58</f>
        <v>21802.83</v>
      </c>
      <c r="C12" s="750">
        <f>+'Statens skalatrin'!F58</f>
        <v>22272.17</v>
      </c>
      <c r="D12" s="750">
        <f>+'Statens skalatrin'!H58</f>
        <v>22597</v>
      </c>
      <c r="E12" s="750">
        <f>+'Statens skalatrin'!J58</f>
        <v>23066.25</v>
      </c>
      <c r="F12" s="750">
        <f>+'Statens skalatrin'!L58</f>
        <v>23390.92</v>
      </c>
      <c r="G12" s="751">
        <f>+'Statens skalatrin'!O58</f>
        <v>20476.38</v>
      </c>
      <c r="H12" s="751">
        <f t="shared" si="0"/>
        <v>3010.0278600000001</v>
      </c>
    </row>
    <row r="13" spans="1:8" ht="16" x14ac:dyDescent="0.2">
      <c r="A13" s="749">
        <v>19</v>
      </c>
      <c r="B13" s="750">
        <f>'Statens skalatrin'!D61</f>
        <v>22095.75</v>
      </c>
      <c r="C13" s="750">
        <f>+'Statens skalatrin'!F61</f>
        <v>22577</v>
      </c>
      <c r="D13" s="750">
        <f>+'Statens skalatrin'!H61</f>
        <v>22910</v>
      </c>
      <c r="E13" s="750">
        <f>+'Statens skalatrin'!J61</f>
        <v>23391.33</v>
      </c>
      <c r="F13" s="750">
        <f>+'Statens skalatrin'!L61</f>
        <v>23724.58</v>
      </c>
      <c r="G13" s="751">
        <f>+'Statens skalatrin'!O61</f>
        <v>20854.169999999998</v>
      </c>
      <c r="H13" s="751">
        <f t="shared" si="0"/>
        <v>3065.5629899999994</v>
      </c>
    </row>
    <row r="14" spans="1:8" ht="16" x14ac:dyDescent="0.2">
      <c r="A14" s="749">
        <v>20</v>
      </c>
      <c r="B14" s="750">
        <f>+'Statens skalatrin'!D64</f>
        <v>22400</v>
      </c>
      <c r="C14" s="750">
        <f>+'Statens skalatrin'!F64</f>
        <v>22893.33</v>
      </c>
      <c r="D14" s="750">
        <f>+'Statens skalatrin'!H64</f>
        <v>23235</v>
      </c>
      <c r="E14" s="750">
        <f>+'Statens skalatrin'!J64</f>
        <v>23728.42</v>
      </c>
      <c r="F14" s="750">
        <f>+'Statens skalatrin'!L64</f>
        <v>24069.919999999998</v>
      </c>
      <c r="G14" s="751">
        <f>+'Statens skalatrin'!O64</f>
        <v>21242.31</v>
      </c>
      <c r="H14" s="751">
        <f t="shared" si="0"/>
        <v>3122.6195699999998</v>
      </c>
    </row>
    <row r="15" spans="1:8" ht="16" x14ac:dyDescent="0.2">
      <c r="A15" s="749">
        <v>21</v>
      </c>
      <c r="B15" s="750">
        <f>+'Statens skalatrin'!D67</f>
        <v>22770.75</v>
      </c>
      <c r="C15" s="750">
        <f>+'Statens skalatrin'!F67</f>
        <v>23276.83</v>
      </c>
      <c r="D15" s="750">
        <f>+'Statens skalatrin'!H67</f>
        <v>23627.17</v>
      </c>
      <c r="E15" s="750">
        <f>+'Statens skalatrin'!J67</f>
        <v>24133.25</v>
      </c>
      <c r="F15" s="750">
        <f>+'Statens skalatrin'!L67</f>
        <v>24483.58</v>
      </c>
      <c r="G15" s="751">
        <f>+'Statens skalatrin'!O67</f>
        <v>21641.279999999999</v>
      </c>
      <c r="H15" s="751">
        <f t="shared" si="0"/>
        <v>3181.2681599999996</v>
      </c>
    </row>
    <row r="16" spans="1:8" ht="16" x14ac:dyDescent="0.2">
      <c r="A16" s="749">
        <v>22</v>
      </c>
      <c r="B16" s="750">
        <f>+'Statens skalatrin'!D70</f>
        <v>23114.33</v>
      </c>
      <c r="C16" s="750">
        <f>+'Statens skalatrin'!F70</f>
        <v>23620.33</v>
      </c>
      <c r="D16" s="750">
        <f>+'Statens skalatrin'!H70</f>
        <v>23970.75</v>
      </c>
      <c r="E16" s="750">
        <f>+'Statens skalatrin'!J70</f>
        <v>24476.75</v>
      </c>
      <c r="F16" s="750">
        <f>+'Statens skalatrin'!L70</f>
        <v>24827.08</v>
      </c>
      <c r="G16" s="751">
        <f>+'Statens skalatrin'!O70</f>
        <v>22039.91</v>
      </c>
      <c r="H16" s="751">
        <f t="shared" si="0"/>
        <v>3239.8667699999996</v>
      </c>
    </row>
    <row r="17" spans="1:8" ht="16" x14ac:dyDescent="0.2">
      <c r="A17" s="749">
        <v>23</v>
      </c>
      <c r="B17" s="750">
        <f>+'Statens skalatrin'!D73</f>
        <v>23482.5</v>
      </c>
      <c r="C17" s="750">
        <f>+'Statens skalatrin'!F73</f>
        <v>23974.5</v>
      </c>
      <c r="D17" s="750">
        <f>+'Statens skalatrin'!H73</f>
        <v>24315.33</v>
      </c>
      <c r="E17" s="750">
        <f>+'Statens skalatrin'!J73</f>
        <v>24807.5</v>
      </c>
      <c r="F17" s="750">
        <f>+'Statens skalatrin'!L73</f>
        <v>25148.080000000002</v>
      </c>
      <c r="G17" s="751">
        <f>+'Statens skalatrin'!O73</f>
        <v>22437.58</v>
      </c>
      <c r="H17" s="751">
        <f t="shared" si="0"/>
        <v>3298.3242599999999</v>
      </c>
    </row>
    <row r="18" spans="1:8" ht="16" x14ac:dyDescent="0.2">
      <c r="A18" s="749">
        <v>24</v>
      </c>
      <c r="B18" s="750">
        <f>+'Statens skalatrin'!D76</f>
        <v>23861.83</v>
      </c>
      <c r="C18" s="750">
        <f>+'Statens skalatrin'!F76</f>
        <v>24340.080000000002</v>
      </c>
      <c r="D18" s="750">
        <f>+'Statens skalatrin'!H76</f>
        <v>24671.17</v>
      </c>
      <c r="E18" s="750">
        <f>+'Statens skalatrin'!J76</f>
        <v>25149.42</v>
      </c>
      <c r="F18" s="750">
        <f>+'Statens skalatrin'!L76</f>
        <v>25480.5</v>
      </c>
      <c r="G18" s="751">
        <f>+'Statens skalatrin'!O76</f>
        <v>22846.560000000001</v>
      </c>
      <c r="H18" s="751">
        <f t="shared" si="0"/>
        <v>3358.4443200000001</v>
      </c>
    </row>
    <row r="19" spans="1:8" ht="16" x14ac:dyDescent="0.2">
      <c r="A19" s="749">
        <v>25</v>
      </c>
      <c r="B19" s="750">
        <f>+'Statens skalatrin'!D79</f>
        <v>24249.67</v>
      </c>
      <c r="C19" s="750">
        <f>+'Statens skalatrin'!F79</f>
        <v>24713</v>
      </c>
      <c r="D19" s="750">
        <f>+'Statens skalatrin'!H79</f>
        <v>25033.75</v>
      </c>
      <c r="E19" s="750">
        <f>+'Statens skalatrin'!J79</f>
        <v>25497.08</v>
      </c>
      <c r="F19" s="750">
        <f>+'Statens skalatrin'!L79</f>
        <v>25817.75</v>
      </c>
      <c r="G19" s="751">
        <f>+'Statens skalatrin'!O79</f>
        <v>23266.13</v>
      </c>
      <c r="H19" s="751">
        <f t="shared" si="0"/>
        <v>3420.12111</v>
      </c>
    </row>
    <row r="20" spans="1:8" ht="16" x14ac:dyDescent="0.2">
      <c r="A20" s="749">
        <v>26</v>
      </c>
      <c r="B20" s="750">
        <f>+'Statens skalatrin'!D82</f>
        <v>24646.5</v>
      </c>
      <c r="C20" s="750">
        <f>+'Statens skalatrin'!F82</f>
        <v>25093.67</v>
      </c>
      <c r="D20" s="750">
        <f>+'Statens skalatrin'!H82</f>
        <v>25403.42</v>
      </c>
      <c r="E20" s="750">
        <f>+'Statens skalatrin'!J82</f>
        <v>25850.67</v>
      </c>
      <c r="F20" s="750">
        <f>+'Statens skalatrin'!L82</f>
        <v>26160.25</v>
      </c>
      <c r="G20" s="751">
        <f>+'Statens skalatrin'!O82</f>
        <v>23696.74</v>
      </c>
      <c r="H20" s="751">
        <f t="shared" si="0"/>
        <v>3483.4207799999999</v>
      </c>
    </row>
    <row r="21" spans="1:8" ht="16" x14ac:dyDescent="0.2">
      <c r="A21" s="749">
        <v>27</v>
      </c>
      <c r="B21" s="750">
        <f>+'Statens skalatrin'!D85</f>
        <v>25051.83</v>
      </c>
      <c r="C21" s="750">
        <f>+'Statens skalatrin'!F85</f>
        <v>25481.83</v>
      </c>
      <c r="D21" s="750">
        <f>+'Statens skalatrin'!H85</f>
        <v>25779.83</v>
      </c>
      <c r="E21" s="750">
        <f>+'Statens skalatrin'!J85</f>
        <v>26209.919999999998</v>
      </c>
      <c r="F21" s="750">
        <f>+'Statens skalatrin'!L85</f>
        <v>26507.75</v>
      </c>
      <c r="G21" s="751">
        <f>+'Statens skalatrin'!O85</f>
        <v>24138.49</v>
      </c>
      <c r="H21" s="751">
        <f t="shared" si="0"/>
        <v>3548.3580299999999</v>
      </c>
    </row>
    <row r="22" spans="1:8" ht="16" x14ac:dyDescent="0.2">
      <c r="A22" s="749">
        <v>28</v>
      </c>
      <c r="B22" s="750">
        <f>+'Statens skalatrin'!D88</f>
        <v>25466.33</v>
      </c>
      <c r="C22" s="750">
        <f>+'Statens skalatrin'!F88</f>
        <v>25878.25</v>
      </c>
      <c r="D22" s="750">
        <f>+'Statens skalatrin'!H88</f>
        <v>26163.42</v>
      </c>
      <c r="E22" s="750">
        <f>+'Statens skalatrin'!J88</f>
        <v>26575.17</v>
      </c>
      <c r="F22" s="750">
        <f>+'Statens skalatrin'!L88</f>
        <v>26860.42</v>
      </c>
      <c r="G22" s="751">
        <f>+'Statens skalatrin'!O88</f>
        <v>24591.98</v>
      </c>
      <c r="H22" s="751">
        <f t="shared" si="0"/>
        <v>3615.0210599999996</v>
      </c>
    </row>
    <row r="23" spans="1:8" ht="16" x14ac:dyDescent="0.2">
      <c r="A23" s="749">
        <v>29</v>
      </c>
      <c r="B23" s="750">
        <f>+'Statens skalatrin'!D91</f>
        <v>25890.17</v>
      </c>
      <c r="C23" s="750">
        <f>+'Statens skalatrin'!F91</f>
        <v>26282.5</v>
      </c>
      <c r="D23" s="750">
        <f>+'Statens skalatrin'!H91</f>
        <v>26554.25</v>
      </c>
      <c r="E23" s="750">
        <f>+'Statens skalatrin'!J91</f>
        <v>26946.58</v>
      </c>
      <c r="F23" s="750">
        <f>+'Statens skalatrin'!L91</f>
        <v>27218.17</v>
      </c>
      <c r="G23" s="751">
        <f>+'Statens skalatrin'!O91</f>
        <v>25057.15</v>
      </c>
      <c r="H23" s="751">
        <f t="shared" si="0"/>
        <v>3683.4010499999999</v>
      </c>
    </row>
    <row r="24" spans="1:8" ht="16" x14ac:dyDescent="0.2">
      <c r="A24" s="749">
        <v>30</v>
      </c>
      <c r="B24" s="750">
        <f>+'Statens skalatrin'!D94</f>
        <v>26323.67</v>
      </c>
      <c r="C24" s="750">
        <f>+'Statens skalatrin'!F94</f>
        <v>26695.25</v>
      </c>
      <c r="D24" s="750">
        <f>+'Statens skalatrin'!H94</f>
        <v>26952.42</v>
      </c>
      <c r="E24" s="750">
        <f>+'Statens skalatrin'!J94</f>
        <v>27323.83</v>
      </c>
      <c r="F24" s="750">
        <f>+'Statens skalatrin'!L94</f>
        <v>27581.08</v>
      </c>
      <c r="G24" s="751">
        <f>+'Statens skalatrin'!O94</f>
        <v>25534.59</v>
      </c>
      <c r="H24" s="751">
        <f t="shared" si="0"/>
        <v>3753.58473</v>
      </c>
    </row>
    <row r="25" spans="1:8" ht="16" x14ac:dyDescent="0.2">
      <c r="A25" s="749">
        <v>31</v>
      </c>
      <c r="B25" s="750">
        <f>+'Statens skalatrin'!D97</f>
        <v>26766.33</v>
      </c>
      <c r="C25" s="750">
        <f>+'Statens skalatrin'!F97</f>
        <v>27115.83</v>
      </c>
      <c r="D25" s="750">
        <f>+'Statens skalatrin'!H97</f>
        <v>27357.83</v>
      </c>
      <c r="E25" s="750">
        <f>+'Statens skalatrin'!J97</f>
        <v>27707.33</v>
      </c>
      <c r="F25" s="750">
        <f>+'Statens skalatrin'!L97</f>
        <v>27949.25</v>
      </c>
      <c r="G25" s="751">
        <f>+'Statens skalatrin'!O97</f>
        <v>26024.41</v>
      </c>
      <c r="H25" s="751">
        <f t="shared" si="0"/>
        <v>3825.5882699999997</v>
      </c>
    </row>
    <row r="26" spans="1:8" ht="16" x14ac:dyDescent="0.2">
      <c r="A26" s="749">
        <v>32</v>
      </c>
      <c r="B26" s="750">
        <f>+'Statens skalatrin'!D100</f>
        <v>27219.33</v>
      </c>
      <c r="C26" s="750">
        <f>+'Statens skalatrin'!F100</f>
        <v>27545.25</v>
      </c>
      <c r="D26" s="750">
        <f>+'Statens skalatrin'!H100</f>
        <v>27770.92</v>
      </c>
      <c r="E26" s="750">
        <f>+'Statens skalatrin'!J100</f>
        <v>28097</v>
      </c>
      <c r="F26" s="750">
        <f>+'Statens skalatrin'!L100</f>
        <v>28322.58</v>
      </c>
      <c r="G26" s="751">
        <f>+'Statens skalatrin'!O100</f>
        <v>26527.19</v>
      </c>
      <c r="H26" s="751">
        <f t="shared" si="0"/>
        <v>3899.4969299999998</v>
      </c>
    </row>
    <row r="27" spans="1:8" ht="16" x14ac:dyDescent="0.2">
      <c r="A27" s="749">
        <v>33</v>
      </c>
      <c r="B27" s="750">
        <f>+'Statens skalatrin'!D103</f>
        <v>27682</v>
      </c>
      <c r="C27" s="750">
        <f>+'Statens skalatrin'!F103</f>
        <v>27982.83</v>
      </c>
      <c r="D27" s="750">
        <f>+'Statens skalatrin'!H103</f>
        <v>28191.42</v>
      </c>
      <c r="E27" s="750">
        <f>+'Statens skalatrin'!J103</f>
        <v>28492.42</v>
      </c>
      <c r="F27" s="750">
        <f>+'Statens skalatrin'!L103</f>
        <v>28700.83</v>
      </c>
      <c r="G27" s="751">
        <f>+'Statens skalatrin'!O103</f>
        <v>27042.87</v>
      </c>
      <c r="H27" s="751">
        <f t="shared" si="0"/>
        <v>3975.3018899999997</v>
      </c>
    </row>
    <row r="28" spans="1:8" ht="16" x14ac:dyDescent="0.2">
      <c r="A28" s="749">
        <v>34</v>
      </c>
      <c r="B28" s="750">
        <f>+'Statens skalatrin'!D106</f>
        <v>28155.17</v>
      </c>
      <c r="C28" s="750">
        <f>+'Statens skalatrin'!F106</f>
        <v>28429.67</v>
      </c>
      <c r="D28" s="750">
        <f>+'Statens skalatrin'!H106</f>
        <v>28619.75</v>
      </c>
      <c r="E28" s="750">
        <f>+'Statens skalatrin'!J106</f>
        <v>28894.17</v>
      </c>
      <c r="F28" s="750">
        <f>+'Statens skalatrin'!L106</f>
        <v>29084.25</v>
      </c>
      <c r="G28" s="751">
        <f>+'Statens skalatrin'!O106</f>
        <v>27572.19</v>
      </c>
      <c r="H28" s="751">
        <f t="shared" si="0"/>
        <v>4053.1119299999996</v>
      </c>
    </row>
    <row r="29" spans="1:8" ht="16" x14ac:dyDescent="0.2">
      <c r="A29" s="749">
        <v>35</v>
      </c>
      <c r="B29" s="750">
        <f>+'Statens skalatrin'!D109</f>
        <v>28638.75</v>
      </c>
      <c r="C29" s="750">
        <f>+'Statens skalatrin'!F109</f>
        <v>28885.42</v>
      </c>
      <c r="D29" s="750">
        <f>+'Statens skalatrin'!H109</f>
        <v>29055.919999999998</v>
      </c>
      <c r="E29" s="750">
        <f>+'Statens skalatrin'!J109</f>
        <v>29302.58</v>
      </c>
      <c r="F29" s="750">
        <f>+'Statens skalatrin'!L109</f>
        <v>29473.17</v>
      </c>
      <c r="G29" s="751">
        <f>+'Statens skalatrin'!O109</f>
        <v>28115.41</v>
      </c>
      <c r="H29" s="751">
        <f t="shared" si="0"/>
        <v>4132.9652699999997</v>
      </c>
    </row>
    <row r="30" spans="1:8" ht="16" x14ac:dyDescent="0.2">
      <c r="A30" s="749">
        <v>36</v>
      </c>
      <c r="B30" s="750">
        <f>'Statens skalatrin'!D112</f>
        <v>29133</v>
      </c>
      <c r="C30" s="750">
        <f>+'Statens skalatrin'!F112</f>
        <v>29349.75</v>
      </c>
      <c r="D30" s="750">
        <f>+'Statens skalatrin'!H112</f>
        <v>29499.919999999998</v>
      </c>
      <c r="E30" s="750">
        <f>+'Statens skalatrin'!J112</f>
        <v>29716.83</v>
      </c>
      <c r="F30" s="750">
        <f>+'Statens skalatrin'!L112</f>
        <v>29866.83</v>
      </c>
      <c r="G30" s="751">
        <f>+'Statens skalatrin'!O112</f>
        <v>28672.61</v>
      </c>
      <c r="H30" s="751">
        <f t="shared" si="0"/>
        <v>4214.8736699999999</v>
      </c>
    </row>
    <row r="31" spans="1:8" ht="16" x14ac:dyDescent="0.2">
      <c r="A31" s="749">
        <v>37</v>
      </c>
      <c r="B31" s="750">
        <f>+'Statens skalatrin'!D115</f>
        <v>29638.17</v>
      </c>
      <c r="C31" s="750">
        <f>+'Statens skalatrin'!F115</f>
        <v>29823.58</v>
      </c>
      <c r="D31" s="750">
        <f>+'Statens skalatrin'!H115</f>
        <v>29951.83</v>
      </c>
      <c r="E31" s="750">
        <f>+'Statens skalatrin'!J115</f>
        <v>30137.25</v>
      </c>
      <c r="F31" s="750">
        <f>+'Statens skalatrin'!L115</f>
        <v>30265.75</v>
      </c>
      <c r="G31" s="751">
        <f>+'Statens skalatrin'!O115</f>
        <v>29244.38</v>
      </c>
      <c r="H31" s="751">
        <f t="shared" si="0"/>
        <v>4298.9238599999999</v>
      </c>
    </row>
    <row r="32" spans="1:8" ht="17" thickBot="1" x14ac:dyDescent="0.25">
      <c r="A32" s="875">
        <v>38</v>
      </c>
      <c r="B32" s="876">
        <f>+'Statens skalatrin'!D118</f>
        <v>30171.58</v>
      </c>
      <c r="C32" s="876">
        <f>+'Statens skalatrin'!F118</f>
        <v>30326.75</v>
      </c>
      <c r="D32" s="876">
        <f>+'Statens skalatrin'!H118</f>
        <v>30434.17</v>
      </c>
      <c r="E32" s="876">
        <f>+'Statens skalatrin'!J118</f>
        <v>30589.33</v>
      </c>
      <c r="F32" s="876">
        <f>+'Statens skalatrin'!L118</f>
        <v>30696.92</v>
      </c>
      <c r="G32" s="877">
        <f>+'Statens skalatrin'!O118</f>
        <v>29842.02</v>
      </c>
      <c r="H32" s="877">
        <f t="shared" si="0"/>
        <v>4386.7769399999997</v>
      </c>
    </row>
    <row r="33" spans="1:8" s="636" customFormat="1" ht="19" thickBot="1" x14ac:dyDescent="0.2">
      <c r="A33" s="1644" t="s">
        <v>479</v>
      </c>
      <c r="B33" s="1645"/>
      <c r="C33" s="1645"/>
      <c r="D33" s="874" t="s">
        <v>478</v>
      </c>
      <c r="E33" s="872"/>
      <c r="F33" s="873"/>
      <c r="G33" s="1634" t="s">
        <v>477</v>
      </c>
      <c r="H33" s="1635"/>
    </row>
    <row r="34" spans="1:8" ht="26" customHeight="1" thickBot="1" x14ac:dyDescent="0.2">
      <c r="A34" s="1639" t="s">
        <v>354</v>
      </c>
      <c r="B34" s="1640"/>
      <c r="C34" s="1640"/>
      <c r="D34" s="1640"/>
      <c r="E34" s="1640"/>
      <c r="F34" s="1640"/>
      <c r="G34" s="1640"/>
      <c r="H34" s="1641"/>
    </row>
    <row r="35" spans="1:8" ht="26" customHeight="1" thickBot="1" x14ac:dyDescent="0.2">
      <c r="A35" s="638" t="s">
        <v>57</v>
      </c>
      <c r="B35" s="638" t="s">
        <v>76</v>
      </c>
      <c r="C35" s="638" t="s">
        <v>77</v>
      </c>
      <c r="D35" s="638" t="s">
        <v>78</v>
      </c>
      <c r="E35" s="638" t="s">
        <v>79</v>
      </c>
      <c r="F35" s="638" t="s">
        <v>80</v>
      </c>
      <c r="G35" s="638" t="s">
        <v>250</v>
      </c>
      <c r="H35" s="938">
        <v>0.16200000000000001</v>
      </c>
    </row>
    <row r="36" spans="1:8" ht="16.5" customHeight="1" x14ac:dyDescent="0.2">
      <c r="A36" s="841">
        <v>40</v>
      </c>
      <c r="B36" s="752">
        <f>'Statens skalatrin'!D124</f>
        <v>31260.75</v>
      </c>
      <c r="C36" s="752">
        <f>+'Statens skalatrin'!F124</f>
        <v>31342.42</v>
      </c>
      <c r="D36" s="752">
        <f>+'Statens skalatrin'!H124</f>
        <v>31399</v>
      </c>
      <c r="E36" s="752">
        <f>+'Statens skalatrin'!J124</f>
        <v>31480.75</v>
      </c>
      <c r="F36" s="752">
        <f>+'Statens skalatrin'!L124</f>
        <v>31537.33</v>
      </c>
      <c r="G36" s="752">
        <f>+'Statens skalatrin'!O124</f>
        <v>31087.07</v>
      </c>
      <c r="H36" s="753">
        <f>G36*H35</f>
        <v>5036.1053400000001</v>
      </c>
    </row>
    <row r="37" spans="1:8" ht="16" x14ac:dyDescent="0.2">
      <c r="A37" s="749">
        <v>42</v>
      </c>
      <c r="B37" s="750">
        <f>'Statens skalatrin'!D130</f>
        <v>32397.83</v>
      </c>
      <c r="C37" s="750">
        <f>+'Statens skalatrin'!F130</f>
        <v>32397.83</v>
      </c>
      <c r="D37" s="750">
        <f>+'Statens skalatrin'!H130</f>
        <v>32397.83</v>
      </c>
      <c r="E37" s="750">
        <f>+'Statens skalatrin'!J130</f>
        <v>32397.83</v>
      </c>
      <c r="F37" s="750">
        <f>+'Statens skalatrin'!L130</f>
        <v>32397.83</v>
      </c>
      <c r="G37" s="750">
        <f>+'Statens skalatrin'!O130</f>
        <v>32397.79</v>
      </c>
      <c r="H37" s="753">
        <f>G37*H35</f>
        <v>5248.4419800000005</v>
      </c>
    </row>
    <row r="38" spans="1:8" ht="16" x14ac:dyDescent="0.2">
      <c r="A38" s="749">
        <v>44</v>
      </c>
      <c r="B38" s="750">
        <f>'Statens skalatrin'!D136</f>
        <v>33856</v>
      </c>
      <c r="C38" s="750">
        <f>+'Statens skalatrin'!F136</f>
        <v>33856</v>
      </c>
      <c r="D38" s="750">
        <f>+'Statens skalatrin'!H136</f>
        <v>33856</v>
      </c>
      <c r="E38" s="750">
        <f>+'Statens skalatrin'!J136</f>
        <v>33856</v>
      </c>
      <c r="F38" s="750">
        <f>+'Statens skalatrin'!L136</f>
        <v>33856</v>
      </c>
      <c r="G38" s="750">
        <f>+'Statens skalatrin'!O136</f>
        <v>33856</v>
      </c>
      <c r="H38" s="753">
        <f>G38*H35</f>
        <v>5484.6720000000005</v>
      </c>
    </row>
    <row r="39" spans="1:8" ht="17" thickBot="1" x14ac:dyDescent="0.25">
      <c r="A39" s="754">
        <v>48</v>
      </c>
      <c r="B39" s="936">
        <f>'Statens skalatrin'!D148</f>
        <v>39507.67</v>
      </c>
      <c r="C39" s="936">
        <f>+'Statens skalatrin'!F148</f>
        <v>39507.67</v>
      </c>
      <c r="D39" s="936">
        <f>+'Statens skalatrin'!H148</f>
        <v>39507.67</v>
      </c>
      <c r="E39" s="936">
        <f>+'Statens skalatrin'!J148</f>
        <v>39507.67</v>
      </c>
      <c r="F39" s="936">
        <f>+'Statens skalatrin'!L148</f>
        <v>39507.67</v>
      </c>
      <c r="G39" s="936">
        <f>+'Statens skalatrin'!O148</f>
        <v>39507.53</v>
      </c>
      <c r="H39" s="937">
        <f>G39*H35</f>
        <v>6400.2198600000002</v>
      </c>
    </row>
    <row r="40" spans="1:8" x14ac:dyDescent="0.15">
      <c r="A40" s="859"/>
      <c r="B40" s="859"/>
      <c r="C40" s="859"/>
      <c r="D40" s="859"/>
      <c r="E40" s="859"/>
      <c r="F40" s="859"/>
      <c r="G40" s="859"/>
      <c r="H40" s="859"/>
    </row>
    <row r="41" spans="1:8" s="636" customFormat="1" ht="15" thickBot="1" x14ac:dyDescent="0.2"/>
    <row r="42" spans="1:8" s="636" customFormat="1" ht="16" x14ac:dyDescent="0.15">
      <c r="A42" s="1621" t="s">
        <v>356</v>
      </c>
      <c r="B42" s="1622"/>
      <c r="C42" s="1622"/>
      <c r="D42" s="1622"/>
      <c r="E42" s="1622"/>
      <c r="F42" s="1622"/>
      <c r="G42" s="1622"/>
      <c r="H42" s="1623"/>
    </row>
    <row r="43" spans="1:8" ht="26" customHeight="1" thickBot="1" x14ac:dyDescent="0.2">
      <c r="A43" s="1178" t="s">
        <v>355</v>
      </c>
      <c r="B43" s="1179"/>
      <c r="C43" s="1179"/>
      <c r="D43" s="1179"/>
      <c r="E43" s="1179"/>
      <c r="F43" s="1179"/>
      <c r="G43" s="1179"/>
      <c r="H43" s="1180"/>
    </row>
    <row r="44" spans="1:8" ht="26" customHeight="1" x14ac:dyDescent="0.2">
      <c r="A44" s="1666" t="s">
        <v>480</v>
      </c>
      <c r="B44" s="1667"/>
      <c r="C44" s="1668"/>
      <c r="D44" s="1610" t="s">
        <v>137</v>
      </c>
      <c r="E44" s="1611"/>
      <c r="F44" s="1610" t="s">
        <v>390</v>
      </c>
      <c r="G44" s="1611"/>
      <c r="H44" s="886" t="s">
        <v>301</v>
      </c>
    </row>
    <row r="45" spans="1:8" ht="15.75" customHeight="1" thickBot="1" x14ac:dyDescent="0.25">
      <c r="A45" s="1669"/>
      <c r="B45" s="1670"/>
      <c r="C45" s="1671"/>
      <c r="D45" s="1612">
        <v>40999</v>
      </c>
      <c r="E45" s="1613"/>
      <c r="F45" s="1612" t="str">
        <f>'Løntabel gældende fra'!D1</f>
        <v>01/10/2018</v>
      </c>
      <c r="G45" s="1613"/>
      <c r="H45" s="730" t="str">
        <f>'Løntabel gældende fra'!$D$1</f>
        <v>01/10/2018</v>
      </c>
    </row>
    <row r="46" spans="1:8" ht="15" customHeight="1" thickBot="1" x14ac:dyDescent="0.2">
      <c r="A46" s="1672"/>
      <c r="B46" s="1673"/>
      <c r="C46" s="1674"/>
      <c r="D46" s="1617">
        <v>4000</v>
      </c>
      <c r="E46" s="1618"/>
      <c r="F46" s="1619">
        <f>+D46*(1+'Løntabel gældende fra'!$D$7/100)</f>
        <v>4299.8879999999999</v>
      </c>
      <c r="G46" s="1620">
        <f>+E46*(1+'Løntabel gældende fra'!$D$7/100)</f>
        <v>0</v>
      </c>
      <c r="H46" s="887">
        <f>F46/12</f>
        <v>358.32400000000001</v>
      </c>
    </row>
    <row r="47" spans="1:8" ht="31.5" customHeight="1" thickBot="1" x14ac:dyDescent="0.2">
      <c r="A47" s="268"/>
      <c r="B47" s="269"/>
      <c r="C47" s="269"/>
      <c r="D47" s="269"/>
      <c r="E47" s="269"/>
      <c r="F47" s="269"/>
    </row>
    <row r="48" spans="1:8" ht="16" x14ac:dyDescent="0.15">
      <c r="A48" s="1621" t="s">
        <v>240</v>
      </c>
      <c r="B48" s="1622"/>
      <c r="C48" s="1622"/>
      <c r="D48" s="1622"/>
      <c r="E48" s="1622"/>
      <c r="F48" s="1622"/>
      <c r="G48" s="1622"/>
      <c r="H48" s="1623"/>
    </row>
    <row r="49" spans="1:8" ht="20" customHeight="1" thickBot="1" x14ac:dyDescent="0.2">
      <c r="A49" s="1178" t="s">
        <v>399</v>
      </c>
      <c r="B49" s="1179"/>
      <c r="C49" s="1179"/>
      <c r="D49" s="1179"/>
      <c r="E49" s="1179"/>
      <c r="F49" s="1179"/>
      <c r="G49" s="1179"/>
      <c r="H49" s="1180"/>
    </row>
    <row r="50" spans="1:8" ht="34.5" customHeight="1" x14ac:dyDescent="0.15">
      <c r="A50" s="1675" t="s">
        <v>363</v>
      </c>
      <c r="B50" s="1676"/>
      <c r="C50" s="1676"/>
      <c r="D50" s="1676"/>
      <c r="E50" s="1676"/>
      <c r="F50" s="1677"/>
      <c r="G50" s="862" t="s">
        <v>102</v>
      </c>
      <c r="H50" s="865" t="s">
        <v>301</v>
      </c>
    </row>
    <row r="51" spans="1:8" ht="21" customHeight="1" thickBot="1" x14ac:dyDescent="0.25">
      <c r="A51" s="1678"/>
      <c r="B51" s="1679"/>
      <c r="C51" s="1679"/>
      <c r="D51" s="1679"/>
      <c r="E51" s="1679"/>
      <c r="F51" s="1680"/>
      <c r="G51" s="730">
        <v>40999</v>
      </c>
      <c r="H51" s="755" t="str">
        <f>'Løntabel gældende fra'!$D$1</f>
        <v>01/10/2018</v>
      </c>
    </row>
    <row r="52" spans="1:8" ht="21" customHeight="1" x14ac:dyDescent="0.2">
      <c r="A52" s="1681" t="s">
        <v>361</v>
      </c>
      <c r="B52" s="1682"/>
      <c r="C52" s="1682"/>
      <c r="D52" s="1682"/>
      <c r="E52" s="1682"/>
      <c r="F52" s="1683"/>
      <c r="G52" s="695">
        <v>540</v>
      </c>
      <c r="H52" s="756">
        <f>G52+G52*'Løntabel gældende fra'!$D$7%</f>
        <v>580.48487999999998</v>
      </c>
    </row>
    <row r="53" spans="1:8" ht="20" customHeight="1" thickBot="1" x14ac:dyDescent="0.25">
      <c r="A53" s="1684" t="s">
        <v>362</v>
      </c>
      <c r="B53" s="1685"/>
      <c r="C53" s="1685"/>
      <c r="D53" s="1685"/>
      <c r="E53" s="1685"/>
      <c r="F53" s="1686"/>
      <c r="G53" s="703">
        <v>666.67</v>
      </c>
      <c r="H53" s="757">
        <f>G53+G53*'Løntabel gældende fra'!$D$7%</f>
        <v>716.65158323999992</v>
      </c>
    </row>
    <row r="54" spans="1:8" ht="20" customHeight="1" thickBot="1" x14ac:dyDescent="0.2">
      <c r="A54" s="299"/>
      <c r="B54" s="299"/>
      <c r="C54" s="299"/>
      <c r="D54" s="299"/>
      <c r="E54" s="299"/>
      <c r="F54" s="286"/>
      <c r="G54" s="286"/>
      <c r="H54" s="878"/>
    </row>
    <row r="55" spans="1:8" s="636" customFormat="1" ht="27" customHeight="1" x14ac:dyDescent="0.15">
      <c r="A55" s="1621" t="s">
        <v>348</v>
      </c>
      <c r="B55" s="1622"/>
      <c r="C55" s="1622"/>
      <c r="D55" s="1622"/>
      <c r="E55" s="1622"/>
      <c r="F55" s="1622"/>
      <c r="G55" s="1622"/>
      <c r="H55" s="1623"/>
    </row>
    <row r="56" spans="1:8" ht="20" customHeight="1" thickBot="1" x14ac:dyDescent="0.2">
      <c r="A56" s="1178" t="s">
        <v>345</v>
      </c>
      <c r="B56" s="1179"/>
      <c r="C56" s="1179"/>
      <c r="D56" s="1179"/>
      <c r="E56" s="1179"/>
      <c r="F56" s="1179"/>
      <c r="G56" s="1179"/>
      <c r="H56" s="1180"/>
    </row>
    <row r="57" spans="1:8" ht="20" customHeight="1" x14ac:dyDescent="0.2">
      <c r="A57" s="883"/>
      <c r="B57" s="884"/>
      <c r="C57" s="884"/>
      <c r="D57" s="884"/>
      <c r="E57" s="884"/>
      <c r="F57" s="884"/>
      <c r="G57" s="886" t="s">
        <v>99</v>
      </c>
      <c r="H57" s="885" t="s">
        <v>104</v>
      </c>
    </row>
    <row r="58" spans="1:8" ht="15" customHeight="1" thickBot="1" x14ac:dyDescent="0.25">
      <c r="A58" s="881"/>
      <c r="B58" s="882"/>
      <c r="C58" s="882"/>
      <c r="D58" s="882"/>
      <c r="E58" s="882"/>
      <c r="F58" s="882"/>
      <c r="G58" s="730">
        <v>40999</v>
      </c>
      <c r="H58" s="755" t="str">
        <f>'Løntabel gældende fra'!$D$1</f>
        <v>01/10/2018</v>
      </c>
    </row>
    <row r="59" spans="1:8" ht="16.5" customHeight="1" x14ac:dyDescent="0.15">
      <c r="A59" s="1669" t="s">
        <v>492</v>
      </c>
      <c r="B59" s="1670"/>
      <c r="C59" s="1670"/>
      <c r="D59" s="1670"/>
      <c r="E59" s="1670"/>
      <c r="F59" s="1626" t="s">
        <v>177</v>
      </c>
      <c r="G59" s="1651">
        <v>39.92</v>
      </c>
      <c r="H59" s="1642">
        <f>G59+G59*'Løntabel gældende fra'!$D$7%</f>
        <v>42.912882240000002</v>
      </c>
    </row>
    <row r="60" spans="1:8" ht="16" customHeight="1" x14ac:dyDescent="0.15">
      <c r="A60" s="1687"/>
      <c r="B60" s="1688"/>
      <c r="C60" s="1688"/>
      <c r="D60" s="1688"/>
      <c r="E60" s="1688"/>
      <c r="F60" s="1627"/>
      <c r="G60" s="1652"/>
      <c r="H60" s="1643"/>
    </row>
    <row r="61" spans="1:8" ht="16" customHeight="1" x14ac:dyDescent="0.2">
      <c r="A61" s="1624" t="s">
        <v>255</v>
      </c>
      <c r="B61" s="1625"/>
      <c r="C61" s="1625"/>
      <c r="D61" s="1625"/>
      <c r="E61" s="1625"/>
      <c r="F61" s="870" t="s">
        <v>177</v>
      </c>
      <c r="G61" s="720">
        <v>39.92</v>
      </c>
      <c r="H61" s="758">
        <f>G61+G61*'Løntabel gældende fra'!$D$7%</f>
        <v>42.912882240000002</v>
      </c>
    </row>
    <row r="62" spans="1:8" s="267" customFormat="1" ht="15.75" customHeight="1" x14ac:dyDescent="0.2">
      <c r="A62" s="1624" t="s">
        <v>235</v>
      </c>
      <c r="B62" s="1625"/>
      <c r="C62" s="1625"/>
      <c r="D62" s="1625"/>
      <c r="E62" s="1625"/>
      <c r="F62" s="870" t="s">
        <v>177</v>
      </c>
      <c r="G62" s="720">
        <v>22.32</v>
      </c>
      <c r="H62" s="758">
        <f>G62+G62*'Løntabel gældende fra'!$D$7%</f>
        <v>23.99337504</v>
      </c>
    </row>
    <row r="63" spans="1:8" s="267" customFormat="1" ht="16" x14ac:dyDescent="0.2">
      <c r="A63" s="1689" t="s">
        <v>176</v>
      </c>
      <c r="B63" s="1690"/>
      <c r="C63" s="1690"/>
      <c r="D63" s="1690"/>
      <c r="E63" s="1690"/>
      <c r="F63" s="879" t="s">
        <v>177</v>
      </c>
      <c r="G63" s="720">
        <v>39.92</v>
      </c>
      <c r="H63" s="758">
        <f>G63+G63*'Løntabel gældende fra'!$D$7%</f>
        <v>42.912882240000002</v>
      </c>
    </row>
    <row r="64" spans="1:8" ht="16" x14ac:dyDescent="0.2">
      <c r="A64" s="1689" t="s">
        <v>481</v>
      </c>
      <c r="B64" s="1690"/>
      <c r="C64" s="1690"/>
      <c r="D64" s="1690"/>
      <c r="E64" s="1690"/>
      <c r="F64" s="879" t="s">
        <v>178</v>
      </c>
      <c r="G64" s="720">
        <v>39.92</v>
      </c>
      <c r="H64" s="758">
        <f>G64+G64*'Løntabel gældende fra'!$D$7%</f>
        <v>42.912882240000002</v>
      </c>
    </row>
    <row r="65" spans="1:8" ht="16" x14ac:dyDescent="0.2">
      <c r="A65" s="1689" t="s">
        <v>482</v>
      </c>
      <c r="B65" s="1690"/>
      <c r="C65" s="1690"/>
      <c r="D65" s="1690"/>
      <c r="E65" s="1690"/>
      <c r="F65" s="879" t="s">
        <v>178</v>
      </c>
      <c r="G65" s="720">
        <v>91.84</v>
      </c>
      <c r="H65" s="758">
        <f>G65+G65*'Løntabel gældende fra'!$D$7%</f>
        <v>98.725428480000005</v>
      </c>
    </row>
    <row r="66" spans="1:8" ht="17" thickBot="1" x14ac:dyDescent="0.25">
      <c r="A66" s="1691" t="s">
        <v>483</v>
      </c>
      <c r="B66" s="1692"/>
      <c r="C66" s="1692"/>
      <c r="D66" s="1692"/>
      <c r="E66" s="1692"/>
      <c r="F66" s="880" t="s">
        <v>177</v>
      </c>
      <c r="G66" s="703">
        <v>27.81</v>
      </c>
      <c r="H66" s="757">
        <f>G66+G66*'Løntabel gældende fra'!$D$7%</f>
        <v>29.89497132</v>
      </c>
    </row>
    <row r="67" spans="1:8" ht="15" thickBot="1" x14ac:dyDescent="0.2">
      <c r="A67" s="299"/>
      <c r="B67" s="299"/>
      <c r="C67" s="299"/>
      <c r="D67" s="299"/>
      <c r="E67" s="299"/>
      <c r="F67" s="286"/>
      <c r="G67" s="286"/>
    </row>
    <row r="68" spans="1:8" s="636" customFormat="1" ht="27" customHeight="1" thickBot="1" x14ac:dyDescent="0.2">
      <c r="A68" s="1614" t="s">
        <v>166</v>
      </c>
      <c r="B68" s="1615"/>
      <c r="C68" s="1615"/>
      <c r="D68" s="1615"/>
      <c r="E68" s="1615"/>
      <c r="F68" s="1615"/>
      <c r="G68" s="1616"/>
      <c r="H68" s="265"/>
    </row>
    <row r="69" spans="1:8" ht="16" x14ac:dyDescent="0.15">
      <c r="A69" s="1628" t="s">
        <v>174</v>
      </c>
      <c r="B69" s="1629"/>
      <c r="C69" s="1630"/>
      <c r="D69" s="1622" t="s">
        <v>391</v>
      </c>
      <c r="E69" s="1622"/>
      <c r="F69" s="1621" t="s">
        <v>392</v>
      </c>
      <c r="G69" s="1623"/>
    </row>
    <row r="70" spans="1:8" ht="13" customHeight="1" thickBot="1" x14ac:dyDescent="0.2">
      <c r="A70" s="1631"/>
      <c r="B70" s="1632"/>
      <c r="C70" s="1633"/>
      <c r="D70" s="1658">
        <v>40999</v>
      </c>
      <c r="E70" s="1659"/>
      <c r="F70" s="1655" t="str">
        <f>'Løntabel gældende fra'!$D$1</f>
        <v>01/10/2018</v>
      </c>
      <c r="G70" s="1656"/>
    </row>
    <row r="71" spans="1:8" ht="15" customHeight="1" x14ac:dyDescent="0.2">
      <c r="A71" s="1604" t="s">
        <v>167</v>
      </c>
      <c r="B71" s="1605"/>
      <c r="C71" s="1606"/>
      <c r="D71" s="1607">
        <v>137</v>
      </c>
      <c r="E71" s="1608"/>
      <c r="F71" s="1609">
        <f>+D71*(1+'Løntabel gældende fra'!$D$7/100)</f>
        <v>147.271164</v>
      </c>
      <c r="G71" s="1608"/>
    </row>
    <row r="72" spans="1:8" ht="17" thickBot="1" x14ac:dyDescent="0.25">
      <c r="A72" s="1660" t="s">
        <v>168</v>
      </c>
      <c r="B72" s="1661"/>
      <c r="C72" s="1662"/>
      <c r="D72" s="1663">
        <v>183</v>
      </c>
      <c r="E72" s="1664"/>
      <c r="F72" s="1653">
        <f>+D72*(1+'Løntabel gældende fra'!$D$7/100)</f>
        <v>196.719876</v>
      </c>
      <c r="G72" s="1654"/>
    </row>
    <row r="73" spans="1:8" ht="15" thickBot="1" x14ac:dyDescent="0.2">
      <c r="A73" s="43"/>
      <c r="B73" s="43"/>
      <c r="C73" s="43"/>
      <c r="D73" s="256"/>
      <c r="E73" s="256"/>
      <c r="F73" s="256"/>
      <c r="G73" s="256"/>
    </row>
    <row r="74" spans="1:8" ht="17" thickBot="1" x14ac:dyDescent="0.25">
      <c r="A74" s="1657" t="str">
        <f>"Unge under 18 år, pr. arbejdstime (60 minutter) pr. "&amp;'Løntabel gældende fra'!D1&amp;""</f>
        <v>Unge under 18 år, pr. arbejdstime (60 minutter) pr. 01/10/2018</v>
      </c>
      <c r="B74" s="1021"/>
      <c r="C74" s="1021"/>
      <c r="D74" s="1021"/>
      <c r="E74" s="1021"/>
      <c r="F74" s="1022"/>
    </row>
    <row r="75" spans="1:8" ht="19" customHeight="1" thickBot="1" x14ac:dyDescent="0.2">
      <c r="A75" s="759" t="s">
        <v>169</v>
      </c>
      <c r="B75" s="760" t="s">
        <v>76</v>
      </c>
      <c r="C75" s="760" t="s">
        <v>77</v>
      </c>
      <c r="D75" s="760" t="s">
        <v>78</v>
      </c>
      <c r="E75" s="760" t="s">
        <v>79</v>
      </c>
      <c r="F75" s="761" t="s">
        <v>80</v>
      </c>
    </row>
    <row r="76" spans="1:8" ht="16" x14ac:dyDescent="0.2">
      <c r="A76" s="841" t="s">
        <v>170</v>
      </c>
      <c r="B76" s="762">
        <f>0.66*B8/160.33</f>
        <v>83.933903823364304</v>
      </c>
      <c r="C76" s="763">
        <f>0.66*C8/160.33</f>
        <v>85.682061997130916</v>
      </c>
      <c r="D76" s="763">
        <f>0.66*D8/160.33</f>
        <v>86.891986527786429</v>
      </c>
      <c r="E76" s="763">
        <f>0.66*E8/160.33</f>
        <v>88.639444894904258</v>
      </c>
      <c r="F76" s="764">
        <f>0.66*F8/160.33</f>
        <v>89.849328260462798</v>
      </c>
    </row>
    <row r="77" spans="1:8" ht="17" thickBot="1" x14ac:dyDescent="0.25">
      <c r="A77" s="754" t="s">
        <v>171</v>
      </c>
      <c r="B77" s="765">
        <f>0.74*B8/160.33</f>
        <v>94.107710347408471</v>
      </c>
      <c r="C77" s="766">
        <f>0.74*C8/160.33</f>
        <v>96.067766481631622</v>
      </c>
      <c r="D77" s="766">
        <f>0.74*D8/160.33</f>
        <v>97.424348531154479</v>
      </c>
      <c r="E77" s="766">
        <f>0.74*E8/160.33</f>
        <v>99.383620033680515</v>
      </c>
      <c r="F77" s="767">
        <f>0.74*F8/160.33</f>
        <v>100.74015592839767</v>
      </c>
    </row>
    <row r="78" spans="1:8" ht="15" thickBot="1" x14ac:dyDescent="0.2">
      <c r="A78" s="268"/>
      <c r="B78" s="269"/>
      <c r="C78" s="269"/>
      <c r="D78" s="269"/>
      <c r="E78" s="269"/>
      <c r="F78" s="269"/>
    </row>
    <row r="79" spans="1:8" ht="16.5" customHeight="1" thickBot="1" x14ac:dyDescent="0.2">
      <c r="A79" s="1614" t="s">
        <v>172</v>
      </c>
      <c r="B79" s="1615"/>
      <c r="C79" s="1615"/>
      <c r="D79" s="1615"/>
      <c r="E79" s="1615"/>
      <c r="F79" s="1615"/>
      <c r="G79" s="1616"/>
    </row>
    <row r="80" spans="1:8" ht="18.75" customHeight="1" x14ac:dyDescent="0.15">
      <c r="A80" s="1628" t="s">
        <v>173</v>
      </c>
      <c r="B80" s="1629"/>
      <c r="C80" s="1630"/>
      <c r="D80" s="1621" t="s">
        <v>102</v>
      </c>
      <c r="E80" s="1623"/>
      <c r="F80" s="1621" t="s">
        <v>301</v>
      </c>
      <c r="G80" s="1623"/>
    </row>
    <row r="81" spans="1:8" ht="17" thickBot="1" x14ac:dyDescent="0.2">
      <c r="A81" s="1631"/>
      <c r="B81" s="1632"/>
      <c r="C81" s="1633"/>
      <c r="D81" s="1655">
        <v>40999</v>
      </c>
      <c r="E81" s="1665"/>
      <c r="F81" s="1655" t="str">
        <f>'Løntabel gældende fra'!$D$1</f>
        <v>01/10/2018</v>
      </c>
      <c r="G81" s="1656"/>
    </row>
    <row r="82" spans="1:8" ht="16" x14ac:dyDescent="0.2">
      <c r="A82" s="1604" t="s">
        <v>328</v>
      </c>
      <c r="B82" s="1605"/>
      <c r="C82" s="1606"/>
      <c r="D82" s="1607">
        <v>10189</v>
      </c>
      <c r="E82" s="1608"/>
      <c r="F82" s="1609">
        <f>+D82*(1+'Løntabel gældende fra'!$D$7/100)</f>
        <v>10952.889708000001</v>
      </c>
      <c r="G82" s="1608">
        <f>+E82*(1+'Løntabel gældende fra'!$D$7/100)</f>
        <v>0</v>
      </c>
    </row>
    <row r="83" spans="1:8" ht="17" thickBot="1" x14ac:dyDescent="0.25">
      <c r="A83" s="1660" t="s">
        <v>329</v>
      </c>
      <c r="B83" s="1661"/>
      <c r="C83" s="1662"/>
      <c r="D83" s="1663">
        <v>10519</v>
      </c>
      <c r="E83" s="1664"/>
      <c r="F83" s="1653">
        <f>+D83*(1+'Løntabel gældende fra'!$D$7/100)</f>
        <v>11307.630468000001</v>
      </c>
      <c r="G83" s="1654">
        <f>+E83*(1+'Løntabel gældende fra'!$D$7/100)</f>
        <v>0</v>
      </c>
    </row>
    <row r="84" spans="1:8" ht="16" x14ac:dyDescent="0.2">
      <c r="A84" s="768"/>
      <c r="B84" s="769"/>
      <c r="C84" s="769"/>
      <c r="D84" s="769"/>
      <c r="E84" s="769"/>
      <c r="F84" s="769"/>
      <c r="G84" s="770"/>
      <c r="H84" s="266"/>
    </row>
    <row r="85" spans="1:8" x14ac:dyDescent="0.15">
      <c r="F85" s="266"/>
    </row>
    <row r="86" spans="1:8" x14ac:dyDescent="0.15">
      <c r="A86" s="275"/>
      <c r="B86" s="275"/>
      <c r="C86" s="275"/>
      <c r="H86" s="267"/>
    </row>
    <row r="87" spans="1:8" x14ac:dyDescent="0.15">
      <c r="A87" s="267"/>
      <c r="B87" s="267"/>
      <c r="C87" s="267"/>
      <c r="D87" s="267"/>
      <c r="E87" s="267"/>
      <c r="F87" s="267"/>
      <c r="G87" s="267"/>
    </row>
  </sheetData>
  <sheetProtection sheet="1" objects="1" scenarios="1"/>
  <mergeCells count="60"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A34:H34"/>
    <mergeCell ref="H59:H60"/>
    <mergeCell ref="A33:C33"/>
    <mergeCell ref="A6:H6"/>
    <mergeCell ref="G5:H5"/>
    <mergeCell ref="A42:H42"/>
    <mergeCell ref="A43:H43"/>
    <mergeCell ref="G59:G60"/>
    <mergeCell ref="A1:H1"/>
    <mergeCell ref="A2:H2"/>
    <mergeCell ref="A3:H3"/>
    <mergeCell ref="G33:H33"/>
    <mergeCell ref="A5:F5"/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" style="245" customWidth="1"/>
    <col min="2" max="3" width="11.1640625" style="245" customWidth="1"/>
    <col min="4" max="4" width="11.33203125" style="245" customWidth="1"/>
    <col min="5" max="6" width="10.6640625" style="245" customWidth="1"/>
    <col min="7" max="7" width="10.1640625" style="245" customWidth="1"/>
    <col min="8" max="8" width="10.83203125" style="245" customWidth="1"/>
    <col min="9" max="9" width="11.1640625" style="245" customWidth="1"/>
    <col min="10" max="10" width="9.1640625" style="245" customWidth="1"/>
    <col min="11" max="16384" width="8.83203125" style="245"/>
  </cols>
  <sheetData>
    <row r="1" spans="1:16" ht="20" x14ac:dyDescent="0.2">
      <c r="A1" s="1187" t="s">
        <v>19</v>
      </c>
      <c r="B1" s="1188"/>
      <c r="C1" s="1188"/>
      <c r="D1" s="1188"/>
      <c r="E1" s="1188"/>
      <c r="F1" s="1188"/>
      <c r="G1" s="1188"/>
      <c r="H1" s="1188"/>
      <c r="I1" s="1188"/>
      <c r="J1" s="1189"/>
    </row>
    <row r="2" spans="1:16" ht="20" x14ac:dyDescent="0.2">
      <c r="A2" s="1702" t="s">
        <v>202</v>
      </c>
      <c r="B2" s="1703"/>
      <c r="C2" s="1703"/>
      <c r="D2" s="1703"/>
      <c r="E2" s="1703"/>
      <c r="F2" s="1703"/>
      <c r="G2" s="1703"/>
      <c r="H2" s="1703"/>
      <c r="I2" s="1703"/>
      <c r="J2" s="1704"/>
    </row>
    <row r="3" spans="1:16" ht="21" thickBot="1" x14ac:dyDescent="0.25">
      <c r="A3" s="1314" t="s">
        <v>237</v>
      </c>
      <c r="B3" s="1315"/>
      <c r="C3" s="1315"/>
      <c r="D3" s="1315"/>
      <c r="E3" s="1315"/>
      <c r="F3" s="1315"/>
      <c r="G3" s="1315"/>
      <c r="H3" s="1315"/>
      <c r="I3" s="1315"/>
      <c r="J3" s="1316"/>
    </row>
    <row r="4" spans="1:16" ht="23" x14ac:dyDescent="0.25">
      <c r="A4" s="1711"/>
      <c r="B4" s="1712"/>
      <c r="C4" s="1712"/>
      <c r="D4" s="1712"/>
      <c r="E4" s="1712"/>
      <c r="F4" s="1712"/>
      <c r="G4" s="1712"/>
      <c r="H4" s="1712"/>
      <c r="I4" s="1712"/>
      <c r="J4" s="265"/>
    </row>
    <row r="5" spans="1:16" ht="47.25" customHeight="1" x14ac:dyDescent="0.2">
      <c r="A5" s="994" t="s">
        <v>257</v>
      </c>
      <c r="B5" s="995"/>
      <c r="C5" s="995"/>
      <c r="D5" s="995"/>
      <c r="E5" s="995"/>
      <c r="F5" s="995"/>
      <c r="G5" s="995"/>
      <c r="H5" s="995"/>
      <c r="I5" s="995"/>
      <c r="J5" s="265"/>
    </row>
    <row r="6" spans="1:16" ht="8" customHeight="1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65"/>
      <c r="L6" s="276"/>
      <c r="M6" s="275"/>
      <c r="N6" s="275"/>
      <c r="O6" s="275"/>
      <c r="P6" s="275"/>
    </row>
    <row r="7" spans="1:16" ht="18" customHeight="1" thickBot="1" x14ac:dyDescent="0.2">
      <c r="A7" s="289"/>
      <c r="B7" s="289"/>
      <c r="C7" s="289"/>
      <c r="D7" s="289"/>
      <c r="E7" s="289"/>
      <c r="F7" s="289"/>
      <c r="G7" s="289"/>
      <c r="H7" s="289"/>
      <c r="I7" s="289"/>
      <c r="J7" s="265"/>
      <c r="L7" s="276"/>
      <c r="M7" s="275"/>
      <c r="N7" s="275"/>
      <c r="O7" s="275"/>
      <c r="P7" s="275"/>
    </row>
    <row r="8" spans="1:16" ht="19" thickBot="1" x14ac:dyDescent="0.25">
      <c r="A8" s="1708" t="s">
        <v>15</v>
      </c>
      <c r="B8" s="1709"/>
      <c r="C8" s="1709"/>
      <c r="D8" s="1709"/>
      <c r="E8" s="1709"/>
      <c r="F8" s="1710"/>
      <c r="G8" s="1705" t="s">
        <v>180</v>
      </c>
      <c r="H8" s="1706"/>
      <c r="I8" s="1706"/>
      <c r="J8" s="1707"/>
      <c r="L8" s="276"/>
      <c r="M8" s="275"/>
      <c r="N8" s="275"/>
      <c r="O8" s="275"/>
      <c r="P8" s="275"/>
    </row>
    <row r="9" spans="1:16" ht="39" x14ac:dyDescent="0.15">
      <c r="A9" s="523" t="s">
        <v>57</v>
      </c>
      <c r="B9" s="523" t="s">
        <v>76</v>
      </c>
      <c r="C9" s="526" t="s">
        <v>77</v>
      </c>
      <c r="D9" s="523" t="s">
        <v>78</v>
      </c>
      <c r="E9" s="523" t="s">
        <v>79</v>
      </c>
      <c r="F9" s="523" t="s">
        <v>80</v>
      </c>
      <c r="G9" s="527" t="s">
        <v>197</v>
      </c>
      <c r="H9" s="528" t="s">
        <v>199</v>
      </c>
      <c r="I9" s="528" t="s">
        <v>200</v>
      </c>
      <c r="J9" s="529">
        <v>0.14000000000000001</v>
      </c>
    </row>
    <row r="10" spans="1:16" ht="15" customHeight="1" x14ac:dyDescent="0.15">
      <c r="A10" s="433" t="s">
        <v>245</v>
      </c>
      <c r="B10" s="316">
        <f>+'Statens skalatrin'!D46+F24/12</f>
        <v>20564.890017000002</v>
      </c>
      <c r="C10" s="317">
        <f>+'Statens skalatrin'!F46+F24/12</f>
        <v>20989.560017</v>
      </c>
      <c r="D10" s="318">
        <f>+'Statens skalatrin'!H46+F24/12</f>
        <v>21283.480016999998</v>
      </c>
      <c r="E10" s="316">
        <f>+'Statens skalatrin'!J46+F24/12</f>
        <v>21707.980016999998</v>
      </c>
      <c r="F10" s="316">
        <f>+'Statens skalatrin'!L46+F24/12</f>
        <v>22001.890017000002</v>
      </c>
      <c r="G10" s="319">
        <f>+'Statens skalatrin'!O46+F24/12</f>
        <v>19238.970017</v>
      </c>
      <c r="H10" s="320">
        <f>J10*1/3</f>
        <v>897.8186007933333</v>
      </c>
      <c r="I10" s="321">
        <f>J10*2/3</f>
        <v>1795.6372015866666</v>
      </c>
      <c r="J10" s="321">
        <f>G10*$J$9</f>
        <v>2693.45580238</v>
      </c>
    </row>
    <row r="11" spans="1:16" ht="15" customHeight="1" x14ac:dyDescent="0.15">
      <c r="A11" s="328">
        <v>17</v>
      </c>
      <c r="B11" s="316">
        <f>+'Statens skalatrin'!D55</f>
        <v>21410.33</v>
      </c>
      <c r="C11" s="317">
        <f>+'Statens skalatrin'!F55</f>
        <v>21868</v>
      </c>
      <c r="D11" s="318">
        <f>+'Statens skalatrin'!H55</f>
        <v>22184.83</v>
      </c>
      <c r="E11" s="316">
        <f>'Statens skalatrin'!J55</f>
        <v>22642.42</v>
      </c>
      <c r="F11" s="316">
        <f>+'Statens skalatrin'!L55</f>
        <v>22959.08</v>
      </c>
      <c r="G11" s="319">
        <f>+'Statens skalatrin'!O55</f>
        <v>20108.61</v>
      </c>
      <c r="H11" s="320">
        <f>J11*1/3</f>
        <v>938.40180000000009</v>
      </c>
      <c r="I11" s="321">
        <f>J11*2/3</f>
        <v>1876.8036000000002</v>
      </c>
      <c r="J11" s="321">
        <f>G11*$J$9</f>
        <v>2815.2054000000003</v>
      </c>
    </row>
    <row r="12" spans="1:16" ht="17" customHeight="1" thickBot="1" x14ac:dyDescent="0.2">
      <c r="A12" s="329" t="s">
        <v>181</v>
      </c>
      <c r="B12" s="322">
        <f>+'Statens skalatrin'!D64+F25/12</f>
        <v>22449.627874000002</v>
      </c>
      <c r="C12" s="323">
        <f>+'Statens skalatrin'!F64+F25/12</f>
        <v>22942.957874000003</v>
      </c>
      <c r="D12" s="324">
        <f>+'Statens skalatrin'!H64+F25/12</f>
        <v>23284.627874000002</v>
      </c>
      <c r="E12" s="322">
        <f>+'Statens skalatrin'!J64+F25/12</f>
        <v>23778.047874</v>
      </c>
      <c r="F12" s="322">
        <f>+'Statens skalatrin'!L64+F25/12</f>
        <v>24119.547874</v>
      </c>
      <c r="G12" s="325">
        <f>+'Statens skalatrin'!O64+F25/12</f>
        <v>21291.937874000003</v>
      </c>
      <c r="H12" s="326">
        <f>J12*1/3</f>
        <v>993.62376745333358</v>
      </c>
      <c r="I12" s="327">
        <f>J12*2/3</f>
        <v>1987.2475349066672</v>
      </c>
      <c r="J12" s="327">
        <f>G12*$J$9</f>
        <v>2980.8713023600008</v>
      </c>
    </row>
    <row r="13" spans="1:16" ht="17" customHeight="1" x14ac:dyDescent="0.15">
      <c r="A13" s="275" t="s">
        <v>258</v>
      </c>
      <c r="B13" s="269"/>
      <c r="C13" s="269"/>
      <c r="D13" s="269"/>
      <c r="E13" s="269"/>
      <c r="F13" s="269"/>
      <c r="G13" s="293"/>
      <c r="H13" s="294"/>
      <c r="I13" s="295"/>
      <c r="J13" s="295"/>
    </row>
    <row r="14" spans="1:16" ht="16" customHeight="1" thickBot="1" x14ac:dyDescent="0.2">
      <c r="A14" s="290"/>
      <c r="B14" s="290"/>
      <c r="C14" s="290"/>
      <c r="D14" s="290"/>
      <c r="E14" s="290"/>
      <c r="F14" s="290"/>
      <c r="G14" s="290"/>
      <c r="H14" s="290"/>
      <c r="I14" s="290"/>
      <c r="J14" s="265"/>
      <c r="L14" s="292"/>
    </row>
    <row r="15" spans="1:16" ht="16" customHeight="1" thickBot="1" x14ac:dyDescent="0.25">
      <c r="A15" s="1705" t="s">
        <v>182</v>
      </c>
      <c r="B15" s="1706"/>
      <c r="C15" s="1706"/>
      <c r="D15" s="1706"/>
      <c r="E15" s="1706"/>
      <c r="F15" s="1707"/>
      <c r="G15" s="275"/>
      <c r="H15" s="275"/>
      <c r="I15" s="275"/>
      <c r="J15" s="265"/>
      <c r="L15" s="292"/>
    </row>
    <row r="16" spans="1:16" ht="16" customHeight="1" thickBot="1" x14ac:dyDescent="0.2">
      <c r="A16" s="279" t="s">
        <v>183</v>
      </c>
      <c r="B16" s="280"/>
      <c r="C16" s="280"/>
      <c r="D16" s="280"/>
      <c r="E16" s="280"/>
      <c r="F16" s="281"/>
      <c r="G16" s="275"/>
      <c r="H16" s="275"/>
      <c r="I16" s="275"/>
      <c r="J16" s="265"/>
      <c r="L16" s="292"/>
    </row>
    <row r="17" spans="1:10" ht="16" customHeight="1" x14ac:dyDescent="0.15">
      <c r="A17" s="523" t="s">
        <v>57</v>
      </c>
      <c r="B17" s="524" t="s">
        <v>76</v>
      </c>
      <c r="C17" s="523" t="s">
        <v>77</v>
      </c>
      <c r="D17" s="524" t="s">
        <v>78</v>
      </c>
      <c r="E17" s="523" t="s">
        <v>79</v>
      </c>
      <c r="F17" s="525" t="s">
        <v>80</v>
      </c>
      <c r="G17" s="275"/>
      <c r="H17" s="275"/>
      <c r="I17" s="275"/>
      <c r="J17" s="265"/>
    </row>
    <row r="18" spans="1:10" ht="16" customHeight="1" thickBot="1" x14ac:dyDescent="0.2">
      <c r="A18" s="333">
        <v>14</v>
      </c>
      <c r="B18" s="330">
        <f>B10*12/1924</f>
        <v>128.26334729937631</v>
      </c>
      <c r="C18" s="331">
        <f>C10*12/1924</f>
        <v>130.91201673804574</v>
      </c>
      <c r="D18" s="330">
        <f>D10*12/1924</f>
        <v>132.74519761122662</v>
      </c>
      <c r="E18" s="331">
        <f>E10*12/1924</f>
        <v>135.39280675883575</v>
      </c>
      <c r="F18" s="332">
        <f>F10*12/1924</f>
        <v>137.22592526195427</v>
      </c>
      <c r="G18" s="275"/>
      <c r="H18" s="274"/>
      <c r="I18" s="274"/>
      <c r="J18" s="265"/>
    </row>
    <row r="19" spans="1:10" ht="15" customHeight="1" x14ac:dyDescent="0.15">
      <c r="A19" s="284"/>
      <c r="B19" s="283"/>
      <c r="C19" s="283"/>
      <c r="D19" s="283"/>
      <c r="E19" s="283"/>
      <c r="F19" s="283"/>
      <c r="G19" s="275"/>
      <c r="H19" s="274"/>
      <c r="I19" s="274"/>
      <c r="J19" s="265"/>
    </row>
    <row r="20" spans="1:10" ht="13" customHeight="1" thickBot="1" x14ac:dyDescent="0.2">
      <c r="A20" s="284"/>
      <c r="B20" s="283"/>
      <c r="C20" s="283"/>
      <c r="D20" s="283"/>
      <c r="E20" s="283"/>
      <c r="F20" s="283"/>
      <c r="G20" s="275"/>
      <c r="H20" s="274"/>
      <c r="I20" s="274"/>
      <c r="J20" s="265"/>
    </row>
    <row r="21" spans="1:10" ht="15" customHeight="1" thickBot="1" x14ac:dyDescent="0.2">
      <c r="A21" s="1097" t="s">
        <v>175</v>
      </c>
      <c r="B21" s="1098"/>
      <c r="C21" s="1098"/>
      <c r="D21" s="1098"/>
      <c r="E21" s="1098"/>
      <c r="F21" s="1099"/>
      <c r="G21" s="237"/>
      <c r="H21" s="237"/>
      <c r="I21" s="237"/>
      <c r="J21" s="265"/>
    </row>
    <row r="22" spans="1:10" ht="15" customHeight="1" x14ac:dyDescent="0.15">
      <c r="A22" s="1713" t="s">
        <v>194</v>
      </c>
      <c r="B22" s="1714"/>
      <c r="C22" s="1714"/>
      <c r="D22" s="1714"/>
      <c r="E22" s="517" t="s">
        <v>99</v>
      </c>
      <c r="F22" s="521" t="s">
        <v>104</v>
      </c>
      <c r="G22" s="286"/>
      <c r="H22" s="275"/>
      <c r="I22" s="275"/>
      <c r="J22" s="265"/>
    </row>
    <row r="23" spans="1:10" ht="15" customHeight="1" thickBot="1" x14ac:dyDescent="0.2">
      <c r="A23" s="1715"/>
      <c r="B23" s="1716"/>
      <c r="C23" s="1716"/>
      <c r="D23" s="1716"/>
      <c r="E23" s="519">
        <v>40999</v>
      </c>
      <c r="F23" s="522" t="str">
        <f>'Løntabel gældende fra'!$D$1</f>
        <v>01/10/2018</v>
      </c>
      <c r="G23" s="286"/>
      <c r="H23" s="275"/>
      <c r="I23" s="275"/>
      <c r="J23" s="265"/>
    </row>
    <row r="24" spans="1:10" ht="15" customHeight="1" thickBot="1" x14ac:dyDescent="0.2">
      <c r="A24" s="1719" t="s">
        <v>244</v>
      </c>
      <c r="B24" s="1720"/>
      <c r="C24" s="1720"/>
      <c r="D24" s="494"/>
      <c r="E24" s="342">
        <v>1957</v>
      </c>
      <c r="F24" s="334">
        <f>E24+E24*'Løntabel gældende fra'!$D$7%</f>
        <v>2103.7202040000002</v>
      </c>
      <c r="G24" s="286"/>
      <c r="H24" s="275"/>
      <c r="I24" s="275"/>
      <c r="J24" s="265"/>
    </row>
    <row r="25" spans="1:10" ht="15" customHeight="1" thickBot="1" x14ac:dyDescent="0.2">
      <c r="A25" s="1717" t="s">
        <v>195</v>
      </c>
      <c r="B25" s="1718"/>
      <c r="C25" s="1718"/>
      <c r="D25" s="495"/>
      <c r="E25" s="342">
        <v>554</v>
      </c>
      <c r="F25" s="334">
        <f>E25+E25*'Løntabel gældende fra'!$D$7%</f>
        <v>595.53448800000001</v>
      </c>
      <c r="G25" s="286"/>
      <c r="H25" s="275"/>
      <c r="I25" s="275"/>
      <c r="J25" s="265"/>
    </row>
    <row r="26" spans="1:10" ht="15" customHeight="1" x14ac:dyDescent="0.15">
      <c r="A26" s="285"/>
      <c r="B26" s="283"/>
      <c r="C26" s="283"/>
      <c r="D26" s="283"/>
      <c r="E26" s="283"/>
      <c r="F26" s="283"/>
      <c r="G26" s="275"/>
      <c r="H26" s="275"/>
      <c r="I26" s="275"/>
      <c r="J26" s="265"/>
    </row>
    <row r="27" spans="1:10" ht="15" customHeight="1" thickBot="1" x14ac:dyDescent="0.2">
      <c r="A27" s="285"/>
      <c r="B27" s="283"/>
      <c r="C27" s="283"/>
      <c r="D27" s="283"/>
      <c r="E27" s="283"/>
      <c r="F27" s="283"/>
      <c r="G27" s="275"/>
      <c r="H27" s="275"/>
      <c r="I27" s="275"/>
      <c r="J27" s="265"/>
    </row>
    <row r="28" spans="1:10" ht="15" customHeight="1" thickBot="1" x14ac:dyDescent="0.2">
      <c r="A28" s="1097" t="s">
        <v>184</v>
      </c>
      <c r="B28" s="1098"/>
      <c r="C28" s="1098"/>
      <c r="D28" s="1098"/>
      <c r="E28" s="1098"/>
      <c r="F28" s="1098"/>
      <c r="G28" s="1098"/>
      <c r="H28" s="1098"/>
      <c r="I28" s="1099"/>
      <c r="J28" s="265"/>
    </row>
    <row r="29" spans="1:10" ht="15" customHeight="1" thickBot="1" x14ac:dyDescent="0.2">
      <c r="A29" s="1693"/>
      <c r="B29" s="1694"/>
      <c r="C29" s="1694"/>
      <c r="D29" s="1694"/>
      <c r="E29" s="1694"/>
      <c r="F29" s="1694"/>
      <c r="G29" s="1694"/>
      <c r="H29" s="517" t="s">
        <v>99</v>
      </c>
      <c r="I29" s="518" t="s">
        <v>104</v>
      </c>
      <c r="J29" s="265"/>
    </row>
    <row r="30" spans="1:10" ht="15" customHeight="1" thickBot="1" x14ac:dyDescent="0.2">
      <c r="A30" s="1695"/>
      <c r="B30" s="1696"/>
      <c r="C30" s="1696"/>
      <c r="D30" s="1696"/>
      <c r="E30" s="1696"/>
      <c r="F30" s="1696"/>
      <c r="G30" s="1697"/>
      <c r="H30" s="519">
        <v>40999</v>
      </c>
      <c r="I30" s="520" t="str">
        <f>'Løntabel gældende fra'!$D$1</f>
        <v>01/10/2018</v>
      </c>
      <c r="J30" s="265"/>
    </row>
    <row r="31" spans="1:10" ht="15" customHeight="1" x14ac:dyDescent="0.15">
      <c r="A31" s="1698" t="s">
        <v>185</v>
      </c>
      <c r="B31" s="1699"/>
      <c r="C31" s="1699"/>
      <c r="D31" s="1699"/>
      <c r="E31" s="1699"/>
      <c r="F31" s="270"/>
      <c r="G31" s="272" t="s">
        <v>177</v>
      </c>
      <c r="H31" s="335">
        <v>22.32</v>
      </c>
      <c r="I31" s="336">
        <f>H31+H31*'Løntabel gældende fra'!$D$7%</f>
        <v>23.99337504</v>
      </c>
      <c r="J31" s="265"/>
    </row>
    <row r="32" spans="1:10" ht="15" customHeight="1" x14ac:dyDescent="0.15">
      <c r="A32" s="1700" t="s">
        <v>186</v>
      </c>
      <c r="B32" s="1701"/>
      <c r="C32" s="1701"/>
      <c r="D32" s="1701"/>
      <c r="E32" s="1701"/>
      <c r="F32" s="291"/>
      <c r="G32" s="273" t="s">
        <v>177</v>
      </c>
      <c r="H32" s="337">
        <v>39.921999999999997</v>
      </c>
      <c r="I32" s="338">
        <f>H32+H32*'Løntabel gældende fra'!$D$7%</f>
        <v>42.915032183999998</v>
      </c>
      <c r="J32" s="265"/>
    </row>
    <row r="33" spans="1:10" ht="26" customHeight="1" x14ac:dyDescent="0.15">
      <c r="A33" s="1698" t="s">
        <v>187</v>
      </c>
      <c r="B33" s="1699"/>
      <c r="C33" s="1699"/>
      <c r="D33" s="1699"/>
      <c r="E33" s="1699"/>
      <c r="F33" s="1699"/>
      <c r="G33" s="273" t="s">
        <v>177</v>
      </c>
      <c r="H33" s="337">
        <v>39.92</v>
      </c>
      <c r="I33" s="338">
        <f>H33+H33*'Løntabel gældende fra'!$D$7%</f>
        <v>42.912882240000002</v>
      </c>
      <c r="J33" s="265"/>
    </row>
    <row r="34" spans="1:10" ht="15" customHeight="1" thickBot="1" x14ac:dyDescent="0.2">
      <c r="A34" s="304" t="s">
        <v>176</v>
      </c>
      <c r="B34" s="303"/>
      <c r="C34" s="303"/>
      <c r="D34" s="303"/>
      <c r="E34" s="287"/>
      <c r="F34" s="287"/>
      <c r="G34" s="298" t="s">
        <v>177</v>
      </c>
      <c r="H34" s="339">
        <v>39.921999999999997</v>
      </c>
      <c r="I34" s="340">
        <f>H34+H34*'Løntabel gældende fra'!$D$7%</f>
        <v>42.915032183999998</v>
      </c>
      <c r="J34" s="265"/>
    </row>
    <row r="35" spans="1:10" ht="15" customHeight="1" x14ac:dyDescent="0.15">
      <c r="A35" s="297"/>
      <c r="B35" s="297"/>
      <c r="C35" s="297"/>
      <c r="D35" s="297"/>
      <c r="E35" s="297"/>
      <c r="F35" s="297"/>
      <c r="G35" s="297"/>
      <c r="H35" s="256"/>
      <c r="I35" s="296"/>
      <c r="J35" s="265"/>
    </row>
    <row r="36" spans="1:10" ht="15" customHeight="1" thickBot="1" x14ac:dyDescent="0.2">
      <c r="A36" s="297"/>
      <c r="B36" s="297"/>
      <c r="C36" s="297"/>
      <c r="D36" s="297"/>
      <c r="E36" s="297"/>
      <c r="F36" s="297"/>
      <c r="G36" s="297"/>
      <c r="H36" s="256"/>
      <c r="I36" s="296"/>
      <c r="J36" s="265"/>
    </row>
    <row r="37" spans="1:10" ht="15" customHeight="1" thickBot="1" x14ac:dyDescent="0.2">
      <c r="A37" s="1097" t="s">
        <v>188</v>
      </c>
      <c r="B37" s="1098"/>
      <c r="C37" s="1098"/>
      <c r="D37" s="1098"/>
      <c r="E37" s="1098"/>
      <c r="F37" s="1098"/>
      <c r="G37" s="1098"/>
      <c r="H37" s="1098"/>
      <c r="I37" s="1099"/>
      <c r="J37" s="275"/>
    </row>
    <row r="38" spans="1:10" ht="15" customHeight="1" thickBot="1" x14ac:dyDescent="0.2">
      <c r="A38" s="1693"/>
      <c r="B38" s="1694"/>
      <c r="C38" s="1694"/>
      <c r="D38" s="1694"/>
      <c r="E38" s="1694"/>
      <c r="F38" s="1694"/>
      <c r="G38" s="1694"/>
      <c r="H38" s="517" t="s">
        <v>99</v>
      </c>
      <c r="I38" s="518" t="s">
        <v>104</v>
      </c>
      <c r="J38" s="275"/>
    </row>
    <row r="39" spans="1:10" ht="15" customHeight="1" thickBot="1" x14ac:dyDescent="0.2">
      <c r="A39" s="1695"/>
      <c r="B39" s="1696"/>
      <c r="C39" s="1696"/>
      <c r="D39" s="1696"/>
      <c r="E39" s="1696"/>
      <c r="F39" s="1696"/>
      <c r="G39" s="1697"/>
      <c r="H39" s="519">
        <v>40999</v>
      </c>
      <c r="I39" s="520" t="str">
        <f>'Løntabel gældende fra'!$D$1</f>
        <v>01/10/2018</v>
      </c>
      <c r="J39" s="275"/>
    </row>
    <row r="40" spans="1:10" ht="15" customHeight="1" thickBot="1" x14ac:dyDescent="0.2">
      <c r="A40" s="1729" t="s">
        <v>189</v>
      </c>
      <c r="B40" s="1730"/>
      <c r="C40" s="1730"/>
      <c r="D40" s="1730"/>
      <c r="E40" s="1730"/>
      <c r="F40" s="271"/>
      <c r="G40" s="282" t="s">
        <v>177</v>
      </c>
      <c r="H40" s="341">
        <v>6.88</v>
      </c>
      <c r="I40" s="334">
        <f>H40+H40*'Løntabel gældende fra'!$D$7%</f>
        <v>7.3958073600000001</v>
      </c>
      <c r="J40" s="275"/>
    </row>
    <row r="41" spans="1:10" ht="15" customHeight="1" x14ac:dyDescent="0.15">
      <c r="A41" s="265"/>
      <c r="B41" s="265"/>
      <c r="C41" s="265"/>
      <c r="D41" s="265"/>
      <c r="E41" s="265"/>
      <c r="F41" s="266"/>
      <c r="G41" s="265"/>
      <c r="H41" s="266"/>
      <c r="I41" s="265"/>
      <c r="J41" s="275"/>
    </row>
    <row r="42" spans="1:10" ht="15" customHeight="1" thickBot="1" x14ac:dyDescent="0.2">
      <c r="A42" s="265"/>
      <c r="B42" s="265"/>
      <c r="C42" s="265"/>
      <c r="D42" s="265"/>
      <c r="E42" s="265"/>
      <c r="F42" s="266"/>
      <c r="G42" s="265"/>
      <c r="H42" s="266"/>
      <c r="I42" s="265"/>
      <c r="J42" s="275"/>
    </row>
    <row r="43" spans="1:10" ht="15" customHeight="1" thickBot="1" x14ac:dyDescent="0.2">
      <c r="A43" s="1097" t="s">
        <v>190</v>
      </c>
      <c r="B43" s="1098"/>
      <c r="C43" s="1098"/>
      <c r="D43" s="1098"/>
      <c r="E43" s="1098"/>
      <c r="F43" s="1098"/>
      <c r="G43" s="1098"/>
      <c r="H43" s="1098"/>
      <c r="I43" s="1099"/>
      <c r="J43" s="275"/>
    </row>
    <row r="44" spans="1:10" ht="15" customHeight="1" x14ac:dyDescent="0.15">
      <c r="A44" s="1721"/>
      <c r="B44" s="1722"/>
      <c r="C44" s="1722"/>
      <c r="D44" s="1722"/>
      <c r="E44" s="1722"/>
      <c r="F44" s="1722"/>
      <c r="G44" s="1723"/>
      <c r="H44" s="517" t="s">
        <v>99</v>
      </c>
      <c r="I44" s="518" t="s">
        <v>104</v>
      </c>
      <c r="J44" s="275"/>
    </row>
    <row r="45" spans="1:10" ht="15" customHeight="1" thickBot="1" x14ac:dyDescent="0.2">
      <c r="A45" s="1724"/>
      <c r="B45" s="1725"/>
      <c r="C45" s="1725"/>
      <c r="D45" s="1725"/>
      <c r="E45" s="1725"/>
      <c r="F45" s="1725"/>
      <c r="G45" s="1726"/>
      <c r="H45" s="519">
        <v>40999</v>
      </c>
      <c r="I45" s="520" t="str">
        <f>'Løntabel gældende fra'!$D$1</f>
        <v>01/10/2018</v>
      </c>
      <c r="J45" s="275"/>
    </row>
    <row r="46" spans="1:10" ht="15" customHeight="1" thickBot="1" x14ac:dyDescent="0.2">
      <c r="A46" s="1729" t="s">
        <v>203</v>
      </c>
      <c r="B46" s="1730"/>
      <c r="C46" s="1730"/>
      <c r="D46" s="1730"/>
      <c r="E46" s="1730"/>
      <c r="F46" s="271"/>
      <c r="G46" s="282"/>
      <c r="H46" s="341">
        <v>655</v>
      </c>
      <c r="I46" s="334">
        <f>H46+H46*'Løntabel gældende fra'!$D$7%</f>
        <v>704.10666000000003</v>
      </c>
      <c r="J46" s="275"/>
    </row>
    <row r="47" spans="1:10" ht="15" customHeight="1" x14ac:dyDescent="0.15">
      <c r="A47" s="265"/>
      <c r="B47" s="265"/>
      <c r="C47" s="265"/>
      <c r="D47" s="265"/>
      <c r="E47" s="265"/>
      <c r="F47" s="266"/>
      <c r="G47" s="265"/>
      <c r="H47" s="266"/>
      <c r="I47" s="265"/>
      <c r="J47" s="275"/>
    </row>
    <row r="48" spans="1:10" ht="15" customHeight="1" thickBot="1" x14ac:dyDescent="0.2">
      <c r="A48" s="265"/>
      <c r="B48" s="265"/>
      <c r="C48" s="265"/>
      <c r="D48" s="265"/>
      <c r="E48" s="265"/>
      <c r="F48" s="266"/>
      <c r="G48" s="265"/>
      <c r="H48" s="266"/>
      <c r="I48" s="265"/>
      <c r="J48" s="275"/>
    </row>
    <row r="49" spans="1:10" ht="15" customHeight="1" thickBot="1" x14ac:dyDescent="0.2">
      <c r="A49" s="1097" t="s">
        <v>191</v>
      </c>
      <c r="B49" s="1098"/>
      <c r="C49" s="1098"/>
      <c r="D49" s="1098"/>
      <c r="E49" s="1098"/>
      <c r="F49" s="1098"/>
      <c r="G49" s="1098"/>
      <c r="H49" s="1098"/>
      <c r="I49" s="1099"/>
      <c r="J49" s="275"/>
    </row>
    <row r="50" spans="1:10" ht="15" customHeight="1" x14ac:dyDescent="0.15">
      <c r="A50" s="1713" t="s">
        <v>193</v>
      </c>
      <c r="B50" s="1714"/>
      <c r="C50" s="1714"/>
      <c r="D50" s="1714"/>
      <c r="E50" s="1714"/>
      <c r="F50" s="1714"/>
      <c r="G50" s="1727"/>
      <c r="H50" s="517" t="s">
        <v>99</v>
      </c>
      <c r="I50" s="518" t="s">
        <v>104</v>
      </c>
      <c r="J50" s="275"/>
    </row>
    <row r="51" spans="1:10" ht="15" customHeight="1" thickBot="1" x14ac:dyDescent="0.2">
      <c r="A51" s="1715"/>
      <c r="B51" s="1716"/>
      <c r="C51" s="1716"/>
      <c r="D51" s="1716"/>
      <c r="E51" s="1716"/>
      <c r="F51" s="1716"/>
      <c r="G51" s="1728"/>
      <c r="H51" s="519">
        <v>40999</v>
      </c>
      <c r="I51" s="520" t="str">
        <f>'Løntabel gældende fra'!$D$1</f>
        <v>01/10/2018</v>
      </c>
      <c r="J51" s="275"/>
    </row>
    <row r="52" spans="1:10" ht="15" customHeight="1" thickBot="1" x14ac:dyDescent="0.2">
      <c r="A52" s="1729" t="s">
        <v>192</v>
      </c>
      <c r="B52" s="1730"/>
      <c r="C52" s="1730"/>
      <c r="D52" s="1730"/>
      <c r="E52" s="1730"/>
      <c r="F52" s="271"/>
      <c r="G52" s="282"/>
      <c r="H52" s="341">
        <v>0</v>
      </c>
      <c r="I52" s="334">
        <f>H52+H52*'Løntabel gældende fra'!$D$7%</f>
        <v>0</v>
      </c>
      <c r="J52" s="275"/>
    </row>
    <row r="53" spans="1:10" ht="15" customHeight="1" x14ac:dyDescent="0.15">
      <c r="A53" s="265"/>
      <c r="B53" s="265"/>
      <c r="C53" s="265"/>
      <c r="D53" s="265"/>
      <c r="E53" s="265"/>
      <c r="F53" s="266"/>
      <c r="G53" s="265"/>
      <c r="H53" s="266"/>
      <c r="I53" s="265"/>
      <c r="J53" s="275"/>
    </row>
    <row r="54" spans="1:10" ht="15" customHeight="1" thickBot="1" x14ac:dyDescent="0.2">
      <c r="A54" s="265"/>
      <c r="B54" s="265"/>
      <c r="C54" s="265"/>
      <c r="D54" s="265"/>
      <c r="E54" s="265"/>
      <c r="F54" s="266"/>
      <c r="G54" s="265"/>
      <c r="H54" s="266"/>
      <c r="I54" s="265"/>
      <c r="J54" s="275"/>
    </row>
    <row r="55" spans="1:10" s="275" customFormat="1" ht="19" thickBot="1" x14ac:dyDescent="0.2">
      <c r="A55" s="1097" t="s">
        <v>196</v>
      </c>
      <c r="B55" s="1098"/>
      <c r="C55" s="1098"/>
      <c r="D55" s="1098"/>
      <c r="E55" s="1098"/>
      <c r="F55" s="1098"/>
      <c r="G55" s="1098"/>
      <c r="H55" s="1098"/>
      <c r="I55" s="1099"/>
    </row>
    <row r="56" spans="1:10" s="275" customFormat="1" ht="14" x14ac:dyDescent="0.15">
      <c r="A56" s="1713"/>
      <c r="B56" s="1714"/>
      <c r="C56" s="1714"/>
      <c r="D56" s="1714"/>
      <c r="E56" s="1714"/>
      <c r="F56" s="1714"/>
      <c r="G56" s="1727"/>
      <c r="H56" s="517" t="s">
        <v>99</v>
      </c>
      <c r="I56" s="518" t="s">
        <v>104</v>
      </c>
    </row>
    <row r="57" spans="1:10" s="275" customFormat="1" ht="15" thickBot="1" x14ac:dyDescent="0.2">
      <c r="A57" s="1715"/>
      <c r="B57" s="1716"/>
      <c r="C57" s="1716"/>
      <c r="D57" s="1716"/>
      <c r="E57" s="1716"/>
      <c r="F57" s="1716"/>
      <c r="G57" s="1728"/>
      <c r="H57" s="519">
        <v>40999</v>
      </c>
      <c r="I57" s="520" t="str">
        <f>'Løntabel gældende fra'!$D$1</f>
        <v>01/10/2018</v>
      </c>
    </row>
    <row r="58" spans="1:10" s="275" customFormat="1" ht="15" thickBot="1" x14ac:dyDescent="0.2">
      <c r="A58" s="1729" t="s">
        <v>196</v>
      </c>
      <c r="B58" s="1730"/>
      <c r="C58" s="1730"/>
      <c r="D58" s="1730"/>
      <c r="E58" s="1730"/>
      <c r="F58" s="271"/>
      <c r="G58" s="282"/>
      <c r="H58" s="341">
        <v>10500</v>
      </c>
      <c r="I58" s="342">
        <f>H58+H58*'Løntabel gældende fra'!$D$7%</f>
        <v>11287.206</v>
      </c>
    </row>
    <row r="59" spans="1:10" s="302" customFormat="1" ht="14" x14ac:dyDescent="0.15">
      <c r="A59" s="299"/>
      <c r="B59" s="299"/>
      <c r="C59" s="299"/>
      <c r="D59" s="299"/>
      <c r="E59" s="299"/>
      <c r="F59" s="286"/>
      <c r="G59" s="286"/>
      <c r="H59" s="300"/>
      <c r="I59" s="301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56:G57"/>
    <mergeCell ref="A58:E58"/>
    <mergeCell ref="A46:E46"/>
    <mergeCell ref="A52:E52"/>
    <mergeCell ref="A37:I37"/>
    <mergeCell ref="A38:G39"/>
    <mergeCell ref="A40:E40"/>
    <mergeCell ref="A55:I55"/>
    <mergeCell ref="A33:F33"/>
    <mergeCell ref="A43:I43"/>
    <mergeCell ref="A44:G45"/>
    <mergeCell ref="A49:I49"/>
    <mergeCell ref="A50:G51"/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13.33203125" style="245" customWidth="1"/>
    <col min="2" max="2" width="15" style="245" customWidth="1"/>
    <col min="3" max="3" width="16.33203125" style="245" customWidth="1"/>
    <col min="4" max="4" width="16.1640625" style="246" customWidth="1"/>
    <col min="5" max="5" width="17.33203125" style="245" customWidth="1"/>
    <col min="6" max="6" width="13.6640625" style="247" customWidth="1"/>
    <col min="7" max="7" width="0.33203125" style="247" customWidth="1"/>
    <col min="8" max="8" width="10.6640625" style="245" customWidth="1"/>
    <col min="9" max="16384" width="8.83203125" style="245"/>
  </cols>
  <sheetData>
    <row r="1" spans="1:9" s="2" customFormat="1" ht="22" customHeight="1" x14ac:dyDescent="0.2">
      <c r="A1" s="1187" t="s">
        <v>19</v>
      </c>
      <c r="B1" s="1188"/>
      <c r="C1" s="1188"/>
      <c r="D1" s="1188"/>
      <c r="E1" s="1188"/>
      <c r="F1" s="1188"/>
      <c r="G1" s="1189"/>
      <c r="H1" s="477"/>
      <c r="I1" s="42"/>
    </row>
    <row r="2" spans="1:9" s="2" customFormat="1" ht="76" customHeight="1" x14ac:dyDescent="0.2">
      <c r="A2" s="1702" t="s">
        <v>157</v>
      </c>
      <c r="B2" s="1703"/>
      <c r="C2" s="1703"/>
      <c r="D2" s="1703"/>
      <c r="E2" s="1703"/>
      <c r="F2" s="1703"/>
      <c r="G2" s="1704"/>
      <c r="H2" s="476"/>
    </row>
    <row r="3" spans="1:9" s="2" customFormat="1" ht="28" customHeight="1" thickBot="1" x14ac:dyDescent="0.25">
      <c r="A3" s="1314" t="s">
        <v>237</v>
      </c>
      <c r="B3" s="1315"/>
      <c r="C3" s="1315"/>
      <c r="D3" s="1315"/>
      <c r="E3" s="1315"/>
      <c r="F3" s="1315"/>
      <c r="G3" s="1316"/>
      <c r="H3" s="477"/>
    </row>
    <row r="4" spans="1:9" ht="12" customHeight="1" thickBot="1" x14ac:dyDescent="0.25">
      <c r="A4" s="1739"/>
      <c r="B4" s="1739"/>
      <c r="C4" s="1739"/>
      <c r="D4" s="1739"/>
      <c r="E4" s="1739"/>
      <c r="F4" s="1739"/>
      <c r="G4" s="1739"/>
    </row>
    <row r="5" spans="1:9" ht="19" thickBot="1" x14ac:dyDescent="0.2">
      <c r="A5" s="539" t="s">
        <v>160</v>
      </c>
      <c r="B5" s="540"/>
      <c r="C5" s="540"/>
      <c r="D5" s="540"/>
      <c r="E5" s="540"/>
      <c r="F5" s="478"/>
      <c r="G5" s="541"/>
    </row>
    <row r="6" spans="1:9" ht="30" customHeight="1" x14ac:dyDescent="0.15">
      <c r="A6" s="1129" t="s">
        <v>147</v>
      </c>
      <c r="B6" s="1129" t="s">
        <v>95</v>
      </c>
      <c r="C6" s="481" t="s">
        <v>101</v>
      </c>
      <c r="D6" s="482" t="s">
        <v>101</v>
      </c>
      <c r="E6" s="482" t="s">
        <v>102</v>
      </c>
      <c r="F6" s="419" t="s">
        <v>148</v>
      </c>
    </row>
    <row r="7" spans="1:9" ht="15" customHeight="1" thickBot="1" x14ac:dyDescent="0.2">
      <c r="A7" s="1174"/>
      <c r="B7" s="1174"/>
      <c r="C7" s="416">
        <v>40999</v>
      </c>
      <c r="D7" s="390">
        <f>'Løntabel gældende fra'!C7</f>
        <v>43374</v>
      </c>
      <c r="E7" s="390">
        <f>'Løntabel gældende fra'!C7</f>
        <v>43374</v>
      </c>
      <c r="F7" s="473" t="s">
        <v>149</v>
      </c>
    </row>
    <row r="8" spans="1:9" ht="16" customHeight="1" x14ac:dyDescent="0.15">
      <c r="A8" s="103">
        <v>1</v>
      </c>
      <c r="B8" s="103" t="s">
        <v>150</v>
      </c>
      <c r="C8" s="439">
        <f>12*22670</f>
        <v>272040</v>
      </c>
      <c r="D8" s="253">
        <f>C8+(C8*'Løntabel gældende fra'!$D$7%)</f>
        <v>292435.38287999999</v>
      </c>
      <c r="E8" s="435">
        <f>D8/12</f>
        <v>24369.615239999999</v>
      </c>
      <c r="F8" s="531">
        <f>(E8*12)/1672*1</f>
        <v>174.90154478468898</v>
      </c>
    </row>
    <row r="9" spans="1:9" ht="16" customHeight="1" x14ac:dyDescent="0.15">
      <c r="A9" s="104">
        <v>2</v>
      </c>
      <c r="B9" s="104" t="s">
        <v>158</v>
      </c>
      <c r="C9" s="434">
        <f>25300*12</f>
        <v>303600</v>
      </c>
      <c r="D9" s="211">
        <f>C9+(C9*'Løntabel gældende fra'!$D$7%)</f>
        <v>326361.49920000002</v>
      </c>
      <c r="E9" s="313">
        <f>D9/12</f>
        <v>27196.7916</v>
      </c>
      <c r="F9" s="533">
        <f>(E9*12)/1672*1</f>
        <v>195.19228421052634</v>
      </c>
    </row>
    <row r="10" spans="1:9" ht="16" customHeight="1" x14ac:dyDescent="0.15">
      <c r="A10" s="248">
        <v>3</v>
      </c>
      <c r="B10" s="534" t="s">
        <v>151</v>
      </c>
      <c r="C10" s="535">
        <f>27920*12</f>
        <v>335040</v>
      </c>
      <c r="D10" s="211">
        <f>C10+(C10*'Løntabel gældende fra'!$D$7%)</f>
        <v>360158.61888000002</v>
      </c>
      <c r="E10" s="313">
        <f>D10/12</f>
        <v>30013.218240000002</v>
      </c>
      <c r="F10" s="533">
        <f>(E10*12)/1672*1</f>
        <v>215.40587253588518</v>
      </c>
    </row>
    <row r="11" spans="1:9" ht="16" customHeight="1" thickBot="1" x14ac:dyDescent="0.2">
      <c r="A11" s="249">
        <v>4</v>
      </c>
      <c r="B11" s="536" t="s">
        <v>159</v>
      </c>
      <c r="C11" s="537">
        <f>29200*12</f>
        <v>350400</v>
      </c>
      <c r="D11" s="190">
        <f>C11+(C11*'Løntabel gældende fra'!$D$7%)</f>
        <v>376670.1888</v>
      </c>
      <c r="E11" s="438">
        <f>D11/12</f>
        <v>31389.182400000002</v>
      </c>
      <c r="F11" s="532">
        <f>(E11*12)/1672*1</f>
        <v>225.28121339712919</v>
      </c>
    </row>
    <row r="12" spans="1:9" ht="11" customHeight="1" thickBot="1" x14ac:dyDescent="0.2"/>
    <row r="13" spans="1:9" ht="19" thickBot="1" x14ac:dyDescent="0.2">
      <c r="A13" s="1215" t="s">
        <v>161</v>
      </c>
      <c r="B13" s="1216"/>
      <c r="C13" s="1216"/>
      <c r="D13" s="1216"/>
      <c r="E13" s="1217"/>
      <c r="F13" s="237"/>
    </row>
    <row r="14" spans="1:9" ht="30" customHeight="1" x14ac:dyDescent="0.15">
      <c r="A14" s="1129" t="s">
        <v>147</v>
      </c>
      <c r="B14" s="481" t="s">
        <v>101</v>
      </c>
      <c r="C14" s="482" t="s">
        <v>101</v>
      </c>
      <c r="D14" s="482" t="s">
        <v>102</v>
      </c>
      <c r="E14" s="419" t="s">
        <v>148</v>
      </c>
      <c r="F14" s="43"/>
    </row>
    <row r="15" spans="1:9" ht="17" customHeight="1" thickBot="1" x14ac:dyDescent="0.2">
      <c r="A15" s="1174"/>
      <c r="B15" s="416">
        <v>40999</v>
      </c>
      <c r="C15" s="390">
        <f>'Løntabel gældende fra'!C7</f>
        <v>43374</v>
      </c>
      <c r="D15" s="390">
        <f>'Løntabel gældende fra'!C7</f>
        <v>43374</v>
      </c>
      <c r="E15" s="473" t="s">
        <v>149</v>
      </c>
      <c r="F15" s="43"/>
    </row>
    <row r="16" spans="1:9" ht="16" customHeight="1" x14ac:dyDescent="0.15">
      <c r="A16" s="103" t="s">
        <v>152</v>
      </c>
      <c r="B16" s="439">
        <f>12*13140</f>
        <v>157680</v>
      </c>
      <c r="C16" s="253">
        <f>B16+(B16*'Løntabel gældende fra'!$D$7%)</f>
        <v>169501.58496000001</v>
      </c>
      <c r="D16" s="435">
        <f>C16/12</f>
        <v>14125.132080000001</v>
      </c>
      <c r="E16" s="531">
        <f>(D16*12)/1672*1</f>
        <v>101.37654602870813</v>
      </c>
      <c r="F16" s="252"/>
    </row>
    <row r="17" spans="1:8" ht="16" customHeight="1" thickBot="1" x14ac:dyDescent="0.2">
      <c r="A17" s="105" t="s">
        <v>153</v>
      </c>
      <c r="B17" s="436">
        <f>12*13800</f>
        <v>165600</v>
      </c>
      <c r="C17" s="190">
        <f>B17+(B17*'Løntabel gældende fra'!$D$7%)</f>
        <v>178015.36319999999</v>
      </c>
      <c r="D17" s="438">
        <f>C17/12</f>
        <v>14834.613599999999</v>
      </c>
      <c r="E17" s="532">
        <f>(D17*12)/1672*1</f>
        <v>106.46851866028707</v>
      </c>
      <c r="F17" s="252"/>
    </row>
    <row r="18" spans="1:8" ht="13" customHeight="1" thickBot="1" x14ac:dyDescent="0.2"/>
    <row r="19" spans="1:8" ht="19" thickBot="1" x14ac:dyDescent="0.2">
      <c r="A19" s="1215" t="s">
        <v>162</v>
      </c>
      <c r="B19" s="1216"/>
      <c r="C19" s="1216"/>
      <c r="D19" s="1216"/>
      <c r="E19" s="1217"/>
    </row>
    <row r="20" spans="1:8" ht="30" customHeight="1" x14ac:dyDescent="0.15">
      <c r="A20" s="417" t="s">
        <v>147</v>
      </c>
      <c r="B20" s="481" t="s">
        <v>101</v>
      </c>
      <c r="C20" s="482" t="s">
        <v>101</v>
      </c>
      <c r="D20" s="482" t="s">
        <v>102</v>
      </c>
      <c r="E20" s="419" t="s">
        <v>148</v>
      </c>
    </row>
    <row r="21" spans="1:8" ht="16" customHeight="1" thickBot="1" x14ac:dyDescent="0.2">
      <c r="A21" s="420"/>
      <c r="B21" s="416">
        <v>40999</v>
      </c>
      <c r="C21" s="390">
        <f>'Løntabel gældende fra'!C7</f>
        <v>43374</v>
      </c>
      <c r="D21" s="390">
        <f>'Løntabel gældende fra'!C7</f>
        <v>43374</v>
      </c>
      <c r="E21" s="473" t="s">
        <v>149</v>
      </c>
    </row>
    <row r="22" spans="1:8" ht="16" customHeight="1" thickBot="1" x14ac:dyDescent="0.2">
      <c r="A22" s="250" t="s">
        <v>152</v>
      </c>
      <c r="B22" s="440">
        <f>12*18700</f>
        <v>224400</v>
      </c>
      <c r="C22" s="254">
        <f>B22+(B22*'Løntabel gældende fra'!$D$7%)</f>
        <v>241223.71679999999</v>
      </c>
      <c r="D22" s="255">
        <f>C22/12</f>
        <v>20101.9764</v>
      </c>
      <c r="E22" s="538">
        <f>(D22*12)/1672*1</f>
        <v>144.27255789473685</v>
      </c>
      <c r="F22" s="246"/>
      <c r="G22" s="246"/>
    </row>
    <row r="23" spans="1:8" s="474" customFormat="1" ht="12" customHeight="1" thickBot="1" x14ac:dyDescent="0.2">
      <c r="A23" s="43"/>
      <c r="B23" s="300"/>
      <c r="C23" s="300"/>
      <c r="D23" s="300"/>
      <c r="E23" s="251"/>
      <c r="F23" s="475"/>
      <c r="G23" s="475"/>
    </row>
    <row r="24" spans="1:8" ht="19" thickBot="1" x14ac:dyDescent="0.2">
      <c r="A24" s="1215" t="s">
        <v>164</v>
      </c>
      <c r="B24" s="1216"/>
      <c r="C24" s="1216"/>
      <c r="D24" s="1216"/>
      <c r="E24" s="1217"/>
      <c r="F24" s="237"/>
      <c r="G24" s="237"/>
      <c r="H24" s="237"/>
    </row>
    <row r="25" spans="1:8" ht="31" customHeight="1" thickBot="1" x14ac:dyDescent="0.2">
      <c r="A25" s="1121" t="s">
        <v>147</v>
      </c>
      <c r="B25" s="1129" t="s">
        <v>20</v>
      </c>
      <c r="C25" s="483" t="s">
        <v>247</v>
      </c>
      <c r="D25" s="484">
        <v>0.17299999999999999</v>
      </c>
      <c r="E25" s="491"/>
      <c r="F25" s="485"/>
      <c r="G25" s="488"/>
      <c r="H25" s="489"/>
    </row>
    <row r="26" spans="1:8" ht="45" customHeight="1" thickBot="1" x14ac:dyDescent="0.2">
      <c r="A26" s="1127"/>
      <c r="B26" s="1174"/>
      <c r="C26" s="236" t="s">
        <v>21</v>
      </c>
      <c r="D26" s="487" t="s">
        <v>248</v>
      </c>
      <c r="E26" s="482" t="s">
        <v>22</v>
      </c>
      <c r="F26" s="1734"/>
      <c r="G26" s="1734"/>
      <c r="H26" s="490"/>
    </row>
    <row r="27" spans="1:8" ht="16" customHeight="1" x14ac:dyDescent="0.15">
      <c r="A27" s="427">
        <v>1</v>
      </c>
      <c r="B27" s="189">
        <f>E8</f>
        <v>24369.615239999999</v>
      </c>
      <c r="C27" s="189">
        <f>E27*1/3</f>
        <v>1405.3144788399998</v>
      </c>
      <c r="D27" s="415">
        <f>E27*2/3</f>
        <v>2810.6289576799995</v>
      </c>
      <c r="E27" s="189">
        <f>B27*$D$25</f>
        <v>4215.9434365199995</v>
      </c>
      <c r="F27" s="485"/>
      <c r="G27" s="486"/>
      <c r="H27" s="292"/>
    </row>
    <row r="28" spans="1:8" ht="16" customHeight="1" x14ac:dyDescent="0.15">
      <c r="A28" s="492">
        <v>2</v>
      </c>
      <c r="B28" s="211">
        <f>E9</f>
        <v>27196.7916</v>
      </c>
      <c r="C28" s="211">
        <f>E28*1/3</f>
        <v>1568.3483156</v>
      </c>
      <c r="D28" s="424">
        <f>E28*2/3</f>
        <v>3136.6966312</v>
      </c>
      <c r="E28" s="211">
        <f>B28*$D$25</f>
        <v>4705.0449467999997</v>
      </c>
      <c r="F28" s="485"/>
      <c r="G28" s="486"/>
      <c r="H28" s="292"/>
    </row>
    <row r="29" spans="1:8" ht="16" customHeight="1" x14ac:dyDescent="0.15">
      <c r="A29" s="492">
        <v>3</v>
      </c>
      <c r="B29" s="211">
        <f>E10</f>
        <v>30013.218240000002</v>
      </c>
      <c r="C29" s="211">
        <f>E29*1/3</f>
        <v>1730.7622518400001</v>
      </c>
      <c r="D29" s="424">
        <f>E29*2/3</f>
        <v>3461.5245036800002</v>
      </c>
      <c r="E29" s="211">
        <f>B29*$D$25</f>
        <v>5192.28675552</v>
      </c>
      <c r="F29" s="485"/>
      <c r="G29" s="486"/>
      <c r="H29" s="292"/>
    </row>
    <row r="30" spans="1:8" ht="16" customHeight="1" thickBot="1" x14ac:dyDescent="0.2">
      <c r="A30" s="429">
        <v>4</v>
      </c>
      <c r="B30" s="190">
        <f>E11</f>
        <v>31389.182400000002</v>
      </c>
      <c r="C30" s="190">
        <f>E30*1/3</f>
        <v>1810.1095183999998</v>
      </c>
      <c r="D30" s="422">
        <f>E30*2/3</f>
        <v>3620.2190367999997</v>
      </c>
      <c r="E30" s="190">
        <f>B30*$D$25</f>
        <v>5430.3285551999998</v>
      </c>
      <c r="F30" s="485"/>
      <c r="G30" s="486"/>
      <c r="H30" s="292"/>
    </row>
    <row r="31" spans="1:8" ht="12" customHeight="1" thickBot="1" x14ac:dyDescent="0.2">
      <c r="A31" s="43"/>
      <c r="B31" s="256"/>
      <c r="C31" s="256"/>
      <c r="D31" s="256"/>
      <c r="E31" s="251"/>
      <c r="F31" s="246"/>
      <c r="G31" s="246"/>
    </row>
    <row r="32" spans="1:8" ht="26.25" customHeight="1" thickBot="1" x14ac:dyDescent="0.2">
      <c r="A32" s="1735" t="s">
        <v>165</v>
      </c>
      <c r="B32" s="1736"/>
      <c r="C32" s="1736"/>
      <c r="D32" s="1736"/>
      <c r="E32" s="1737"/>
      <c r="F32" s="126" t="s">
        <v>93</v>
      </c>
      <c r="G32" s="246"/>
    </row>
    <row r="33" spans="1:8" ht="29" customHeight="1" thickBot="1" x14ac:dyDescent="0.2">
      <c r="A33" s="1265" t="s">
        <v>163</v>
      </c>
      <c r="B33" s="1266"/>
      <c r="C33" s="1266"/>
      <c r="D33" s="1266"/>
      <c r="E33" s="1738"/>
      <c r="F33" s="530">
        <v>160</v>
      </c>
      <c r="G33" s="246"/>
    </row>
    <row r="34" spans="1:8" ht="4.5" customHeight="1" x14ac:dyDescent="0.15">
      <c r="A34" s="479"/>
      <c r="B34" s="479"/>
      <c r="C34" s="479"/>
      <c r="D34" s="479"/>
      <c r="E34" s="479"/>
      <c r="F34" s="480"/>
      <c r="G34" s="246"/>
    </row>
    <row r="35" spans="1:8" s="275" customFormat="1" ht="28" customHeight="1" x14ac:dyDescent="0.15">
      <c r="A35" s="1731" t="s">
        <v>154</v>
      </c>
      <c r="B35" s="1731"/>
      <c r="C35" s="1731"/>
      <c r="D35" s="1731"/>
      <c r="E35" s="1731"/>
      <c r="F35" s="1731"/>
      <c r="G35" s="1731"/>
    </row>
    <row r="36" spans="1:8" s="275" customFormat="1" ht="30" customHeight="1" x14ac:dyDescent="0.15">
      <c r="A36" s="1732" t="s">
        <v>155</v>
      </c>
      <c r="B36" s="1732"/>
      <c r="C36" s="1732"/>
      <c r="D36" s="1732"/>
      <c r="E36" s="1732"/>
      <c r="F36" s="1732"/>
      <c r="G36" s="1732"/>
      <c r="H36" s="493"/>
    </row>
    <row r="37" spans="1:8" s="275" customFormat="1" ht="32.25" customHeight="1" x14ac:dyDescent="0.15">
      <c r="A37" s="1733" t="s">
        <v>156</v>
      </c>
      <c r="B37" s="1733"/>
      <c r="C37" s="1733"/>
      <c r="D37" s="1733"/>
      <c r="E37" s="1733"/>
      <c r="F37" s="1733"/>
      <c r="G37" s="1733"/>
    </row>
    <row r="38" spans="1:8" s="258" customFormat="1" x14ac:dyDescent="0.15">
      <c r="A38" s="257"/>
      <c r="B38" s="257"/>
      <c r="D38" s="259"/>
      <c r="F38" s="260"/>
      <c r="G38" s="260"/>
    </row>
    <row r="39" spans="1:8" s="258" customFormat="1" x14ac:dyDescent="0.15">
      <c r="A39" s="261"/>
      <c r="B39" s="261"/>
      <c r="D39" s="259"/>
      <c r="F39" s="260"/>
      <c r="G39" s="260"/>
    </row>
    <row r="40" spans="1:8" s="258" customFormat="1" x14ac:dyDescent="0.15">
      <c r="A40" s="261"/>
      <c r="B40" s="261"/>
      <c r="C40" s="262"/>
      <c r="D40" s="259"/>
      <c r="F40" s="260"/>
      <c r="G40" s="260"/>
    </row>
    <row r="41" spans="1:8" s="258" customFormat="1" x14ac:dyDescent="0.15">
      <c r="C41" s="263"/>
      <c r="D41" s="259"/>
      <c r="F41" s="260"/>
      <c r="G41" s="260"/>
    </row>
    <row r="42" spans="1:8" s="258" customFormat="1" x14ac:dyDescent="0.15">
      <c r="C42" s="263"/>
      <c r="D42" s="259"/>
      <c r="F42" s="260"/>
      <c r="G42" s="260"/>
    </row>
    <row r="43" spans="1:8" s="258" customFormat="1" x14ac:dyDescent="0.15">
      <c r="C43" s="263"/>
      <c r="D43" s="259"/>
      <c r="F43" s="260"/>
      <c r="G43" s="260"/>
    </row>
    <row r="44" spans="1:8" s="258" customFormat="1" x14ac:dyDescent="0.15">
      <c r="C44" s="264"/>
      <c r="D44" s="259"/>
      <c r="F44" s="260"/>
      <c r="G44" s="260"/>
    </row>
    <row r="45" spans="1:8" s="258" customFormat="1" x14ac:dyDescent="0.15">
      <c r="D45" s="259"/>
      <c r="F45" s="260"/>
      <c r="G45" s="260"/>
    </row>
  </sheetData>
  <sheetProtection password="CA9C" sheet="1" objects="1" scenarios="1"/>
  <mergeCells count="18"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  <mergeCell ref="A35:G35"/>
    <mergeCell ref="A36:G36"/>
    <mergeCell ref="A37:G37"/>
    <mergeCell ref="F26:G26"/>
    <mergeCell ref="B6:B7"/>
    <mergeCell ref="A32:E32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8"/>
  <sheetViews>
    <sheetView view="pageBreakPreview" zoomScaleNormal="125" zoomScaleSheetLayoutView="100" zoomScalePageLayoutView="125" workbookViewId="0">
      <selection activeCell="I22" sqref="I22"/>
    </sheetView>
  </sheetViews>
  <sheetFormatPr baseColWidth="10" defaultColWidth="8.83203125" defaultRowHeight="13" x14ac:dyDescent="0.15"/>
  <cols>
    <col min="1" max="1" width="9" style="245" customWidth="1"/>
    <col min="2" max="2" width="11.6640625" style="245" customWidth="1"/>
    <col min="3" max="3" width="11.1640625" style="245" customWidth="1"/>
    <col min="4" max="4" width="11.33203125" style="245" customWidth="1"/>
    <col min="5" max="6" width="10.6640625" style="245" customWidth="1"/>
    <col min="7" max="7" width="11.33203125" style="245" customWidth="1"/>
    <col min="8" max="8" width="11.1640625" style="245" customWidth="1"/>
    <col min="9" max="9" width="11.33203125" style="245" customWidth="1"/>
    <col min="10" max="10" width="10.5" style="245" customWidth="1"/>
    <col min="11" max="16384" width="8.83203125" style="245"/>
  </cols>
  <sheetData>
    <row r="1" spans="1:16" ht="20" x14ac:dyDescent="0.2">
      <c r="A1" s="1187" t="s">
        <v>19</v>
      </c>
      <c r="B1" s="1188"/>
      <c r="C1" s="1188"/>
      <c r="D1" s="1188"/>
      <c r="E1" s="1188"/>
      <c r="F1" s="1188"/>
      <c r="G1" s="1188"/>
      <c r="H1" s="1188"/>
      <c r="I1" s="1188"/>
      <c r="J1" s="1189"/>
    </row>
    <row r="2" spans="1:16" ht="38" customHeight="1" x14ac:dyDescent="0.2">
      <c r="A2" s="1702" t="s">
        <v>202</v>
      </c>
      <c r="B2" s="1703"/>
      <c r="C2" s="1703"/>
      <c r="D2" s="1703"/>
      <c r="E2" s="1703"/>
      <c r="F2" s="1703"/>
      <c r="G2" s="1703"/>
      <c r="H2" s="1703"/>
      <c r="I2" s="1703"/>
      <c r="J2" s="1704"/>
    </row>
    <row r="3" spans="1:16" ht="20" x14ac:dyDescent="0.2">
      <c r="A3" s="1198" t="str">
        <f>'Forside 1'!A6:I6</f>
        <v>Gældende fra 1. oktober 2018</v>
      </c>
      <c r="B3" s="1199"/>
      <c r="C3" s="1199"/>
      <c r="D3" s="1199"/>
      <c r="E3" s="1199"/>
      <c r="F3" s="1199"/>
      <c r="G3" s="1199"/>
      <c r="H3" s="1199"/>
      <c r="I3" s="1199"/>
      <c r="J3" s="1200"/>
    </row>
    <row r="4" spans="1:16" ht="17" customHeight="1" x14ac:dyDescent="0.15">
      <c r="A4" s="1755" t="s">
        <v>364</v>
      </c>
      <c r="B4" s="1756"/>
      <c r="C4" s="1756"/>
      <c r="D4" s="1756"/>
      <c r="E4" s="1756"/>
      <c r="F4" s="1756"/>
      <c r="G4" s="1756"/>
      <c r="H4" s="1756"/>
      <c r="I4" s="1756"/>
      <c r="J4" s="1757"/>
    </row>
    <row r="5" spans="1:16" ht="8" customHeight="1" x14ac:dyDescent="0.15">
      <c r="A5" s="1755" t="s">
        <v>510</v>
      </c>
      <c r="B5" s="1756"/>
      <c r="C5" s="1756"/>
      <c r="D5" s="1756"/>
      <c r="E5" s="1756"/>
      <c r="F5" s="1756"/>
      <c r="G5" s="1756"/>
      <c r="H5" s="1756"/>
      <c r="I5" s="1756"/>
      <c r="J5" s="1757"/>
      <c r="L5" s="276"/>
      <c r="M5" s="275"/>
      <c r="N5" s="275"/>
      <c r="O5" s="275"/>
      <c r="P5" s="275"/>
    </row>
    <row r="6" spans="1:16" ht="7" customHeight="1" thickBot="1" x14ac:dyDescent="0.2">
      <c r="A6" s="1758"/>
      <c r="B6" s="1759"/>
      <c r="C6" s="1759"/>
      <c r="D6" s="1759"/>
      <c r="E6" s="1759"/>
      <c r="F6" s="1759"/>
      <c r="G6" s="1759"/>
      <c r="H6" s="1759"/>
      <c r="I6" s="1759"/>
      <c r="J6" s="1760"/>
      <c r="L6" s="276"/>
      <c r="M6" s="275"/>
      <c r="N6" s="275"/>
      <c r="O6" s="275"/>
      <c r="P6" s="275"/>
    </row>
    <row r="7" spans="1:16" s="474" customFormat="1" ht="18" customHeight="1" thickBot="1" x14ac:dyDescent="0.2">
      <c r="A7" s="679"/>
      <c r="B7" s="679"/>
      <c r="C7" s="679"/>
      <c r="D7" s="679"/>
      <c r="E7" s="679"/>
      <c r="F7" s="679"/>
      <c r="G7" s="680"/>
      <c r="H7" s="680"/>
      <c r="I7" s="680"/>
      <c r="J7" s="680"/>
      <c r="L7" s="681"/>
      <c r="M7" s="682"/>
      <c r="N7" s="682"/>
      <c r="O7" s="682"/>
      <c r="P7" s="682"/>
    </row>
    <row r="8" spans="1:16" ht="21" customHeight="1" thickBot="1" x14ac:dyDescent="0.25">
      <c r="A8" s="1708" t="s">
        <v>337</v>
      </c>
      <c r="B8" s="1709"/>
      <c r="C8" s="1709"/>
      <c r="D8" s="1709"/>
      <c r="E8" s="1709"/>
      <c r="F8" s="1710"/>
      <c r="G8" s="1705" t="s">
        <v>180</v>
      </c>
      <c r="H8" s="1706"/>
      <c r="I8" s="1706"/>
      <c r="J8" s="1707"/>
      <c r="L8" s="276"/>
      <c r="M8" s="275"/>
      <c r="N8" s="275"/>
      <c r="O8" s="275"/>
      <c r="P8" s="275"/>
    </row>
    <row r="9" spans="1:16" ht="26" x14ac:dyDescent="0.15">
      <c r="A9" s="523" t="s">
        <v>57</v>
      </c>
      <c r="B9" s="523" t="s">
        <v>76</v>
      </c>
      <c r="C9" s="526" t="s">
        <v>77</v>
      </c>
      <c r="D9" s="523" t="s">
        <v>78</v>
      </c>
      <c r="E9" s="523" t="s">
        <v>79</v>
      </c>
      <c r="F9" s="523" t="s">
        <v>80</v>
      </c>
      <c r="G9" s="527" t="s">
        <v>197</v>
      </c>
      <c r="H9" s="528" t="s">
        <v>199</v>
      </c>
      <c r="I9" s="528" t="s">
        <v>200</v>
      </c>
      <c r="J9" s="529">
        <v>0.14000000000000001</v>
      </c>
    </row>
    <row r="10" spans="1:16" ht="16" customHeight="1" x14ac:dyDescent="0.15">
      <c r="A10" s="328">
        <v>14</v>
      </c>
      <c r="B10" s="800">
        <f>'Statens skalatrin'!D46</f>
        <v>20389.580000000002</v>
      </c>
      <c r="C10" s="800">
        <f>'Statens skalatrin'!F46</f>
        <v>20814.25</v>
      </c>
      <c r="D10" s="800">
        <f>'Statens skalatrin'!H46</f>
        <v>21108.17</v>
      </c>
      <c r="E10" s="800">
        <f>'Statens skalatrin'!J46</f>
        <v>21532.67</v>
      </c>
      <c r="F10" s="800">
        <f>'Statens skalatrin'!L46</f>
        <v>21826.58</v>
      </c>
      <c r="G10" s="1761">
        <f>'Statens skalatrin'!O46</f>
        <v>19063.66</v>
      </c>
      <c r="H10" s="1761">
        <f>J10*1/3</f>
        <v>889.63746666666668</v>
      </c>
      <c r="I10" s="1761">
        <f>J10*2/3</f>
        <v>1779.2749333333334</v>
      </c>
      <c r="J10" s="1761">
        <f>G10*$J$9</f>
        <v>2668.9124000000002</v>
      </c>
    </row>
    <row r="11" spans="1:16" ht="16" customHeight="1" x14ac:dyDescent="0.15">
      <c r="A11" s="433" t="s">
        <v>245</v>
      </c>
      <c r="B11" s="577">
        <f>B10+(F24/12)</f>
        <v>20564.890017000002</v>
      </c>
      <c r="C11" s="577">
        <f>C10+(F24/12)</f>
        <v>20989.560017</v>
      </c>
      <c r="D11" s="577">
        <f>D10+(F24/12)</f>
        <v>21283.480016999998</v>
      </c>
      <c r="E11" s="577">
        <f>E10+(F24/12)</f>
        <v>21707.980016999998</v>
      </c>
      <c r="F11" s="577">
        <f>F10+(F24/12)</f>
        <v>22001.890017000002</v>
      </c>
      <c r="G11" s="1762"/>
      <c r="H11" s="1762"/>
      <c r="I11" s="1762"/>
      <c r="J11" s="1762"/>
    </row>
    <row r="12" spans="1:16" ht="16" customHeight="1" x14ac:dyDescent="0.15">
      <c r="A12" s="328">
        <v>17</v>
      </c>
      <c r="B12" s="577">
        <f>'Statens skalatrin'!D55</f>
        <v>21410.33</v>
      </c>
      <c r="C12" s="577">
        <f>'Statens skalatrin'!F55</f>
        <v>21868</v>
      </c>
      <c r="D12" s="801">
        <f>'Statens skalatrin'!H55</f>
        <v>22184.83</v>
      </c>
      <c r="E12" s="577">
        <f>'Statens skalatrin'!J55</f>
        <v>22642.42</v>
      </c>
      <c r="F12" s="577">
        <f>'Statens skalatrin'!L55</f>
        <v>22959.08</v>
      </c>
      <c r="G12" s="968">
        <f>'Statens skalatrin'!O55</f>
        <v>20108.61</v>
      </c>
      <c r="H12" s="969">
        <f>J12*1/3</f>
        <v>938.40180000000009</v>
      </c>
      <c r="I12" s="969">
        <f>J12*2/3</f>
        <v>1876.8036000000002</v>
      </c>
      <c r="J12" s="969">
        <f>G12*$J$9</f>
        <v>2815.2054000000003</v>
      </c>
    </row>
    <row r="13" spans="1:16" ht="16" customHeight="1" thickBot="1" x14ac:dyDescent="0.2">
      <c r="A13" s="329">
        <v>21</v>
      </c>
      <c r="B13" s="578">
        <f>'Statens skalatrin'!D67</f>
        <v>22770.75</v>
      </c>
      <c r="C13" s="578">
        <f>'Statens skalatrin'!F67</f>
        <v>23276.83</v>
      </c>
      <c r="D13" s="802">
        <f>'Statens skalatrin'!H67</f>
        <v>23627.17</v>
      </c>
      <c r="E13" s="578">
        <f>'Statens skalatrin'!J67</f>
        <v>24133.25</v>
      </c>
      <c r="F13" s="578">
        <f>'Statens skalatrin'!L67</f>
        <v>24483.58</v>
      </c>
      <c r="G13" s="967">
        <f>'Statens skalatrin'!O67</f>
        <v>21641.279999999999</v>
      </c>
      <c r="H13" s="967">
        <f>J13*1/3</f>
        <v>1009.9263999999999</v>
      </c>
      <c r="I13" s="967">
        <f>J13*2/3</f>
        <v>2019.8527999999999</v>
      </c>
      <c r="J13" s="967">
        <f>G13*$J$9</f>
        <v>3029.7791999999999</v>
      </c>
    </row>
    <row r="14" spans="1:16" ht="17" customHeight="1" thickBot="1" x14ac:dyDescent="0.2">
      <c r="A14" s="275"/>
      <c r="B14" s="269"/>
      <c r="C14" s="269"/>
      <c r="D14" s="269"/>
      <c r="E14" s="269"/>
      <c r="F14" s="269"/>
      <c r="G14" s="293"/>
      <c r="H14" s="294"/>
      <c r="I14" s="295"/>
      <c r="J14" s="295"/>
    </row>
    <row r="15" spans="1:16" s="636" customFormat="1" ht="27" customHeight="1" x14ac:dyDescent="0.15">
      <c r="A15" s="1770" t="s">
        <v>509</v>
      </c>
      <c r="B15" s="1771"/>
      <c r="C15" s="1771"/>
      <c r="D15" s="1771"/>
      <c r="E15" s="1771"/>
      <c r="F15" s="1771"/>
      <c r="G15" s="1772"/>
      <c r="H15" s="265"/>
    </row>
    <row r="16" spans="1:16" s="636" customFormat="1" ht="16" customHeight="1" thickBot="1" x14ac:dyDescent="0.2">
      <c r="A16" s="1208" t="s">
        <v>345</v>
      </c>
      <c r="B16" s="1209"/>
      <c r="C16" s="1209"/>
      <c r="D16" s="1209"/>
      <c r="E16" s="1209"/>
      <c r="F16" s="1209"/>
      <c r="G16" s="1210"/>
      <c r="H16" s="265"/>
    </row>
    <row r="17" spans="1:10" s="265" customFormat="1" ht="16" x14ac:dyDescent="0.15">
      <c r="A17" s="1628"/>
      <c r="B17" s="1629"/>
      <c r="C17" s="1630"/>
      <c r="D17" s="1622" t="s">
        <v>391</v>
      </c>
      <c r="E17" s="1622"/>
      <c r="F17" s="1621" t="s">
        <v>392</v>
      </c>
      <c r="G17" s="1623"/>
    </row>
    <row r="18" spans="1:10" s="265" customFormat="1" ht="13" customHeight="1" thickBot="1" x14ac:dyDescent="0.2">
      <c r="A18" s="1631"/>
      <c r="B18" s="1632"/>
      <c r="C18" s="1633"/>
      <c r="D18" s="1658">
        <v>40999</v>
      </c>
      <c r="E18" s="1659"/>
      <c r="F18" s="1655" t="str">
        <f>'Løntabel gældende fra'!$D$1</f>
        <v>01/10/2018</v>
      </c>
      <c r="G18" s="1656"/>
    </row>
    <row r="19" spans="1:10" s="265" customFormat="1" ht="15" customHeight="1" thickBot="1" x14ac:dyDescent="0.25">
      <c r="A19" s="1764" t="s">
        <v>174</v>
      </c>
      <c r="B19" s="1765"/>
      <c r="C19" s="1766"/>
      <c r="D19" s="1767">
        <v>148</v>
      </c>
      <c r="E19" s="1768"/>
      <c r="F19" s="1769">
        <f>+D19*(1+'Løntabel gældende fra'!$D$7/100)</f>
        <v>159.095856</v>
      </c>
      <c r="G19" s="1768"/>
    </row>
    <row r="20" spans="1:10" ht="15" customHeight="1" thickBot="1" x14ac:dyDescent="0.2">
      <c r="A20" s="284"/>
      <c r="B20" s="283"/>
      <c r="C20" s="283"/>
      <c r="D20" s="283"/>
      <c r="E20" s="283"/>
      <c r="F20" s="283"/>
      <c r="G20" s="275"/>
      <c r="H20" s="274"/>
      <c r="I20" s="274"/>
      <c r="J20" s="265"/>
    </row>
    <row r="21" spans="1:10" ht="21" customHeight="1" thickBot="1" x14ac:dyDescent="0.2">
      <c r="A21" s="1215" t="s">
        <v>175</v>
      </c>
      <c r="B21" s="1216"/>
      <c r="C21" s="1216"/>
      <c r="D21" s="1216"/>
      <c r="E21" s="1216"/>
      <c r="F21" s="1217"/>
      <c r="G21" s="237"/>
      <c r="H21" s="237"/>
      <c r="I21" s="237"/>
      <c r="J21" s="265"/>
    </row>
    <row r="22" spans="1:10" ht="27" customHeight="1" x14ac:dyDescent="0.15">
      <c r="A22" s="1743" t="s">
        <v>365</v>
      </c>
      <c r="B22" s="1744"/>
      <c r="C22" s="1744"/>
      <c r="D22" s="1744"/>
      <c r="E22" s="791" t="s">
        <v>137</v>
      </c>
      <c r="F22" s="792" t="s">
        <v>390</v>
      </c>
      <c r="G22" s="286"/>
      <c r="H22" s="275"/>
      <c r="I22" s="275"/>
      <c r="J22" s="265"/>
    </row>
    <row r="23" spans="1:10" ht="15" customHeight="1" x14ac:dyDescent="0.15">
      <c r="A23" s="1715"/>
      <c r="B23" s="1716"/>
      <c r="C23" s="1716"/>
      <c r="D23" s="1716"/>
      <c r="E23" s="683">
        <v>40999</v>
      </c>
      <c r="F23" s="685" t="str">
        <f>'Løntabel gældende fra'!D1</f>
        <v>01/10/2018</v>
      </c>
      <c r="G23" s="286"/>
      <c r="H23" s="275"/>
      <c r="I23" s="275"/>
      <c r="J23" s="265"/>
    </row>
    <row r="24" spans="1:10" ht="16" customHeight="1" thickBot="1" x14ac:dyDescent="0.2">
      <c r="A24" s="1729" t="s">
        <v>244</v>
      </c>
      <c r="B24" s="1730"/>
      <c r="C24" s="1730"/>
      <c r="D24" s="1763"/>
      <c r="E24" s="647">
        <v>1957</v>
      </c>
      <c r="F24" s="648">
        <f>E24+(E24*'Løntabel gældende fra'!$D$7%)</f>
        <v>2103.7202040000002</v>
      </c>
      <c r="G24" s="286"/>
      <c r="H24" s="275"/>
      <c r="I24" s="275"/>
      <c r="J24" s="265"/>
    </row>
    <row r="25" spans="1:10" ht="15" customHeight="1" thickBot="1" x14ac:dyDescent="0.2">
      <c r="A25" s="284"/>
      <c r="B25" s="283"/>
      <c r="C25" s="283"/>
      <c r="D25" s="283"/>
      <c r="E25" s="283"/>
      <c r="F25" s="283"/>
      <c r="G25" s="275"/>
      <c r="H25" s="275"/>
      <c r="I25" s="275"/>
      <c r="J25" s="265"/>
    </row>
    <row r="26" spans="1:10" ht="20" customHeight="1" x14ac:dyDescent="0.15">
      <c r="A26" s="1097" t="s">
        <v>184</v>
      </c>
      <c r="B26" s="1098"/>
      <c r="C26" s="1098"/>
      <c r="D26" s="1098"/>
      <c r="E26" s="1098"/>
      <c r="F26" s="1098"/>
      <c r="G26" s="1098"/>
      <c r="H26" s="1098"/>
      <c r="I26" s="1099"/>
      <c r="J26" s="265"/>
    </row>
    <row r="27" spans="1:10" ht="20" customHeight="1" thickBot="1" x14ac:dyDescent="0.2">
      <c r="A27" s="1178" t="s">
        <v>345</v>
      </c>
      <c r="B27" s="1179"/>
      <c r="C27" s="1179"/>
      <c r="D27" s="1179"/>
      <c r="E27" s="1179"/>
      <c r="F27" s="1179"/>
      <c r="G27" s="1179"/>
      <c r="H27" s="1179"/>
      <c r="I27" s="1180"/>
      <c r="J27" s="265"/>
    </row>
    <row r="28" spans="1:10" ht="27" customHeight="1" thickBot="1" x14ac:dyDescent="0.2">
      <c r="A28" s="1753"/>
      <c r="B28" s="1754"/>
      <c r="C28" s="1754"/>
      <c r="D28" s="1754"/>
      <c r="E28" s="1754"/>
      <c r="F28" s="1754"/>
      <c r="G28" s="1754"/>
      <c r="H28" s="791" t="s">
        <v>391</v>
      </c>
      <c r="I28" s="794" t="s">
        <v>392</v>
      </c>
      <c r="J28" s="265"/>
    </row>
    <row r="29" spans="1:10" ht="15" customHeight="1" thickBot="1" x14ac:dyDescent="0.2">
      <c r="A29" s="1695"/>
      <c r="B29" s="1696"/>
      <c r="C29" s="1696"/>
      <c r="D29" s="1696"/>
      <c r="E29" s="1696"/>
      <c r="F29" s="1696"/>
      <c r="G29" s="1697"/>
      <c r="H29" s="687">
        <v>40999</v>
      </c>
      <c r="I29" s="688" t="str">
        <f>'Løntabel gældende fra'!D1</f>
        <v>01/10/2018</v>
      </c>
      <c r="J29" s="265"/>
    </row>
    <row r="30" spans="1:10" ht="15" customHeight="1" x14ac:dyDescent="0.15">
      <c r="A30" s="1698" t="s">
        <v>185</v>
      </c>
      <c r="B30" s="1699"/>
      <c r="C30" s="1699"/>
      <c r="D30" s="1699"/>
      <c r="E30" s="1699"/>
      <c r="F30" s="270"/>
      <c r="G30" s="272" t="s">
        <v>177</v>
      </c>
      <c r="H30" s="335">
        <v>22.32</v>
      </c>
      <c r="I30" s="336">
        <f>H30+(H30*'Løntabel gældende fra'!$D$7%)</f>
        <v>23.99337504</v>
      </c>
      <c r="J30" s="265"/>
    </row>
    <row r="31" spans="1:10" ht="15" customHeight="1" x14ac:dyDescent="0.15">
      <c r="A31" s="1700" t="s">
        <v>186</v>
      </c>
      <c r="B31" s="1701"/>
      <c r="C31" s="1701"/>
      <c r="D31" s="1701"/>
      <c r="E31" s="1701"/>
      <c r="F31" s="643"/>
      <c r="G31" s="273" t="s">
        <v>177</v>
      </c>
      <c r="H31" s="337">
        <v>39.92</v>
      </c>
      <c r="I31" s="336">
        <f>H31+(H31*'Løntabel gældende fra'!$D$7%)</f>
        <v>42.912882240000002</v>
      </c>
      <c r="J31" s="265"/>
    </row>
    <row r="32" spans="1:10" ht="26" customHeight="1" x14ac:dyDescent="0.15">
      <c r="A32" s="1698" t="s">
        <v>187</v>
      </c>
      <c r="B32" s="1699"/>
      <c r="C32" s="1699"/>
      <c r="D32" s="1699"/>
      <c r="E32" s="1699"/>
      <c r="F32" s="1699"/>
      <c r="G32" s="273" t="s">
        <v>177</v>
      </c>
      <c r="H32" s="337">
        <v>39.92</v>
      </c>
      <c r="I32" s="336">
        <f>H32+(H32*'Løntabel gældende fra'!$D$7%)</f>
        <v>42.912882240000002</v>
      </c>
      <c r="J32" s="265"/>
    </row>
    <row r="33" spans="1:10" ht="15" customHeight="1" thickBot="1" x14ac:dyDescent="0.2">
      <c r="A33" s="304" t="s">
        <v>176</v>
      </c>
      <c r="B33" s="303"/>
      <c r="C33" s="303"/>
      <c r="D33" s="303"/>
      <c r="E33" s="287"/>
      <c r="F33" s="287"/>
      <c r="G33" s="298" t="s">
        <v>177</v>
      </c>
      <c r="H33" s="339">
        <v>39.92</v>
      </c>
      <c r="I33" s="334">
        <f>H33+(H33*'Løntabel gældende fra'!$D$7%)</f>
        <v>42.912882240000002</v>
      </c>
      <c r="J33" s="265"/>
    </row>
    <row r="34" spans="1:10" ht="15" customHeight="1" thickBot="1" x14ac:dyDescent="0.2">
      <c r="A34" s="297"/>
      <c r="B34" s="297"/>
      <c r="C34" s="297"/>
      <c r="D34" s="297"/>
      <c r="E34" s="297"/>
      <c r="F34" s="297"/>
      <c r="G34" s="297"/>
      <c r="H34" s="256"/>
      <c r="I34" s="296"/>
      <c r="J34" s="265"/>
    </row>
    <row r="35" spans="1:10" ht="21" customHeight="1" x14ac:dyDescent="0.15">
      <c r="A35" s="1097" t="s">
        <v>366</v>
      </c>
      <c r="B35" s="1098"/>
      <c r="C35" s="1098"/>
      <c r="D35" s="1098"/>
      <c r="E35" s="1098"/>
      <c r="F35" s="1098"/>
      <c r="G35" s="1098"/>
      <c r="H35" s="1098"/>
      <c r="I35" s="1099"/>
      <c r="J35" s="275"/>
    </row>
    <row r="36" spans="1:10" ht="21" customHeight="1" thickBot="1" x14ac:dyDescent="0.2">
      <c r="A36" s="1178" t="s">
        <v>341</v>
      </c>
      <c r="B36" s="1179"/>
      <c r="C36" s="1179"/>
      <c r="D36" s="1179"/>
      <c r="E36" s="1179"/>
      <c r="F36" s="1179"/>
      <c r="G36" s="1179"/>
      <c r="H36" s="1179"/>
      <c r="I36" s="1180"/>
      <c r="J36" s="275"/>
    </row>
    <row r="37" spans="1:10" ht="27" customHeight="1" thickBot="1" x14ac:dyDescent="0.2">
      <c r="A37" s="1740"/>
      <c r="B37" s="1741"/>
      <c r="C37" s="1741"/>
      <c r="D37" s="1741"/>
      <c r="E37" s="1741"/>
      <c r="F37" s="1741"/>
      <c r="G37" s="1742"/>
      <c r="H37" s="791" t="s">
        <v>391</v>
      </c>
      <c r="I37" s="794" t="s">
        <v>392</v>
      </c>
      <c r="J37" s="275"/>
    </row>
    <row r="38" spans="1:10" ht="15" customHeight="1" thickBot="1" x14ac:dyDescent="0.2">
      <c r="A38" s="1740"/>
      <c r="B38" s="1741"/>
      <c r="C38" s="1741"/>
      <c r="D38" s="1741"/>
      <c r="E38" s="1741"/>
      <c r="F38" s="1741"/>
      <c r="G38" s="1742"/>
      <c r="H38" s="687">
        <v>40999</v>
      </c>
      <c r="I38" s="688" t="str">
        <f>'Løntabel gældende fra'!D1</f>
        <v>01/10/2018</v>
      </c>
      <c r="J38" s="275"/>
    </row>
    <row r="39" spans="1:10" ht="15" customHeight="1" thickBot="1" x14ac:dyDescent="0.2">
      <c r="A39" s="1247" t="s">
        <v>189</v>
      </c>
      <c r="B39" s="1248"/>
      <c r="C39" s="1248"/>
      <c r="D39" s="1248"/>
      <c r="E39" s="1248"/>
      <c r="F39" s="689"/>
      <c r="G39" s="690" t="s">
        <v>177</v>
      </c>
      <c r="H39" s="341">
        <v>6.88</v>
      </c>
      <c r="I39" s="334">
        <f>H39+(H39*'Løntabel gældende fra'!D7%)</f>
        <v>7.3958073600000001</v>
      </c>
      <c r="J39" s="275"/>
    </row>
    <row r="40" spans="1:10" ht="15" customHeight="1" thickBot="1" x14ac:dyDescent="0.2">
      <c r="A40" s="1752"/>
      <c r="B40" s="1752"/>
      <c r="C40" s="1752"/>
      <c r="D40" s="1752"/>
      <c r="E40" s="1752"/>
      <c r="F40" s="1752"/>
      <c r="G40" s="1752"/>
      <c r="H40" s="1752"/>
      <c r="I40" s="1752"/>
      <c r="J40" s="275"/>
    </row>
    <row r="41" spans="1:10" ht="21" customHeight="1" x14ac:dyDescent="0.15">
      <c r="A41" s="1097" t="s">
        <v>190</v>
      </c>
      <c r="B41" s="1098"/>
      <c r="C41" s="1098"/>
      <c r="D41" s="1098"/>
      <c r="E41" s="1098"/>
      <c r="F41" s="1098"/>
      <c r="G41" s="1098"/>
      <c r="H41" s="1098"/>
      <c r="I41" s="1099"/>
      <c r="J41" s="275"/>
    </row>
    <row r="42" spans="1:10" ht="21" customHeight="1" thickBot="1" x14ac:dyDescent="0.2">
      <c r="A42" s="1178" t="s">
        <v>345</v>
      </c>
      <c r="B42" s="1179"/>
      <c r="C42" s="1179"/>
      <c r="D42" s="1179"/>
      <c r="E42" s="1179"/>
      <c r="F42" s="1179"/>
      <c r="G42" s="1179"/>
      <c r="H42" s="1179"/>
      <c r="I42" s="1180"/>
      <c r="J42" s="275"/>
    </row>
    <row r="43" spans="1:10" ht="30" customHeight="1" x14ac:dyDescent="0.15">
      <c r="A43" s="1746"/>
      <c r="B43" s="1747"/>
      <c r="C43" s="1747"/>
      <c r="D43" s="1747"/>
      <c r="E43" s="1747"/>
      <c r="F43" s="1747"/>
      <c r="G43" s="1748"/>
      <c r="H43" s="791" t="s">
        <v>137</v>
      </c>
      <c r="I43" s="792" t="s">
        <v>390</v>
      </c>
      <c r="J43" s="275"/>
    </row>
    <row r="44" spans="1:10" ht="15" customHeight="1" thickBot="1" x14ac:dyDescent="0.2">
      <c r="A44" s="1749"/>
      <c r="B44" s="1750"/>
      <c r="C44" s="1750"/>
      <c r="D44" s="1750"/>
      <c r="E44" s="1750"/>
      <c r="F44" s="1750"/>
      <c r="G44" s="1751"/>
      <c r="H44" s="687">
        <v>40999</v>
      </c>
      <c r="I44" s="688" t="str">
        <f>'Løntabel gældende fra'!D1</f>
        <v>01/10/2018</v>
      </c>
      <c r="J44" s="275"/>
    </row>
    <row r="45" spans="1:10" ht="15" customHeight="1" thickBot="1" x14ac:dyDescent="0.2">
      <c r="A45" s="1247" t="s">
        <v>203</v>
      </c>
      <c r="B45" s="1248"/>
      <c r="C45" s="1248"/>
      <c r="D45" s="1248"/>
      <c r="E45" s="1248"/>
      <c r="F45" s="689"/>
      <c r="G45" s="690"/>
      <c r="H45" s="341">
        <v>655</v>
      </c>
      <c r="I45" s="334">
        <f>H45+(H45*'Løntabel gældende fra'!D7%)</f>
        <v>704.10666000000003</v>
      </c>
      <c r="J45" s="275"/>
    </row>
    <row r="46" spans="1:10" ht="15" customHeight="1" thickBot="1" x14ac:dyDescent="0.2">
      <c r="A46" s="265"/>
      <c r="B46" s="265"/>
      <c r="C46" s="265"/>
      <c r="D46" s="265"/>
      <c r="E46" s="265"/>
      <c r="F46" s="266"/>
      <c r="G46" s="265"/>
      <c r="H46" s="266"/>
      <c r="I46" s="265"/>
      <c r="J46" s="275"/>
    </row>
    <row r="47" spans="1:10" ht="21" customHeight="1" x14ac:dyDescent="0.15">
      <c r="A47" s="1097" t="s">
        <v>367</v>
      </c>
      <c r="B47" s="1098"/>
      <c r="C47" s="1098"/>
      <c r="D47" s="1098"/>
      <c r="E47" s="1098"/>
      <c r="F47" s="1098"/>
      <c r="G47" s="1098"/>
      <c r="H47" s="1098"/>
      <c r="I47" s="1099"/>
      <c r="J47" s="275"/>
    </row>
    <row r="48" spans="1:10" ht="21" customHeight="1" thickBot="1" x14ac:dyDescent="0.2">
      <c r="A48" s="1178" t="s">
        <v>341</v>
      </c>
      <c r="B48" s="1179"/>
      <c r="C48" s="1179"/>
      <c r="D48" s="1179"/>
      <c r="E48" s="1179"/>
      <c r="F48" s="1179"/>
      <c r="G48" s="1179"/>
      <c r="H48" s="1179"/>
      <c r="I48" s="1180"/>
      <c r="J48" s="275"/>
    </row>
    <row r="49" spans="1:10" ht="15" customHeight="1" x14ac:dyDescent="0.15">
      <c r="A49" s="1743" t="s">
        <v>193</v>
      </c>
      <c r="B49" s="1744"/>
      <c r="C49" s="1744"/>
      <c r="D49" s="1744"/>
      <c r="E49" s="1744"/>
      <c r="F49" s="1744"/>
      <c r="G49" s="1745"/>
      <c r="H49" s="684" t="s">
        <v>99</v>
      </c>
      <c r="I49" s="686" t="s">
        <v>104</v>
      </c>
      <c r="J49" s="275"/>
    </row>
    <row r="50" spans="1:10" ht="15" customHeight="1" thickBot="1" x14ac:dyDescent="0.2">
      <c r="A50" s="1715"/>
      <c r="B50" s="1716"/>
      <c r="C50" s="1716"/>
      <c r="D50" s="1716"/>
      <c r="E50" s="1716"/>
      <c r="F50" s="1716"/>
      <c r="G50" s="1728"/>
      <c r="H50" s="687">
        <v>40999</v>
      </c>
      <c r="I50" s="688" t="str">
        <f>'Løntabel gældende fra'!D1</f>
        <v>01/10/2018</v>
      </c>
      <c r="J50" s="275"/>
    </row>
    <row r="51" spans="1:10" ht="15" customHeight="1" thickBot="1" x14ac:dyDescent="0.2">
      <c r="A51" s="1729" t="s">
        <v>192</v>
      </c>
      <c r="B51" s="1730"/>
      <c r="C51" s="1730"/>
      <c r="D51" s="1730"/>
      <c r="E51" s="1730"/>
      <c r="F51" s="271"/>
      <c r="G51" s="282"/>
      <c r="H51" s="341">
        <v>0</v>
      </c>
      <c r="I51" s="334">
        <v>0</v>
      </c>
      <c r="J51" s="275"/>
    </row>
    <row r="52" spans="1:10" ht="15" customHeight="1" thickBot="1" x14ac:dyDescent="0.2">
      <c r="A52" s="265"/>
      <c r="B52" s="265"/>
      <c r="C52" s="265"/>
      <c r="D52" s="265"/>
      <c r="E52" s="265"/>
      <c r="F52" s="266"/>
      <c r="G52" s="265"/>
      <c r="H52" s="266"/>
      <c r="I52" s="265"/>
      <c r="J52" s="275"/>
    </row>
    <row r="53" spans="1:10" s="275" customFormat="1" ht="18" x14ac:dyDescent="0.15">
      <c r="A53" s="1097" t="s">
        <v>368</v>
      </c>
      <c r="B53" s="1098"/>
      <c r="C53" s="1098"/>
      <c r="D53" s="1098"/>
      <c r="E53" s="1098"/>
      <c r="F53" s="1098"/>
      <c r="G53" s="1098"/>
      <c r="H53" s="1098"/>
      <c r="I53" s="1099"/>
    </row>
    <row r="54" spans="1:10" s="275" customFormat="1" ht="17" thickBot="1" x14ac:dyDescent="0.2">
      <c r="A54" s="1178" t="s">
        <v>341</v>
      </c>
      <c r="B54" s="1179"/>
      <c r="C54" s="1179"/>
      <c r="D54" s="1179"/>
      <c r="E54" s="1179"/>
      <c r="F54" s="1179"/>
      <c r="G54" s="1179"/>
      <c r="H54" s="1179"/>
      <c r="I54" s="1180"/>
    </row>
    <row r="55" spans="1:10" s="275" customFormat="1" ht="26" x14ac:dyDescent="0.15">
      <c r="A55" s="1244"/>
      <c r="B55" s="1245"/>
      <c r="C55" s="1245"/>
      <c r="D55" s="1245"/>
      <c r="E55" s="1245"/>
      <c r="F55" s="1245"/>
      <c r="G55" s="1246"/>
      <c r="H55" s="791" t="s">
        <v>137</v>
      </c>
      <c r="I55" s="792" t="s">
        <v>390</v>
      </c>
    </row>
    <row r="56" spans="1:10" s="275" customFormat="1" ht="15" thickBot="1" x14ac:dyDescent="0.2">
      <c r="A56" s="1743"/>
      <c r="B56" s="1744"/>
      <c r="C56" s="1744"/>
      <c r="D56" s="1744"/>
      <c r="E56" s="1744"/>
      <c r="F56" s="1744"/>
      <c r="G56" s="1745"/>
      <c r="H56" s="687">
        <v>40999</v>
      </c>
      <c r="I56" s="688" t="str">
        <f>'Løntabel gældende fra'!D1</f>
        <v>01/10/2018</v>
      </c>
    </row>
    <row r="57" spans="1:10" s="275" customFormat="1" ht="15" thickBot="1" x14ac:dyDescent="0.2">
      <c r="A57" s="1247" t="s">
        <v>196</v>
      </c>
      <c r="B57" s="1248"/>
      <c r="C57" s="1248"/>
      <c r="D57" s="1248"/>
      <c r="E57" s="1248"/>
      <c r="F57" s="689"/>
      <c r="G57" s="690"/>
      <c r="H57" s="341">
        <v>10500</v>
      </c>
      <c r="I57" s="342">
        <f>H57+(H57*'Løntabel gældende fra'!D7%)</f>
        <v>11287.206</v>
      </c>
    </row>
    <row r="58" spans="1:10" s="302" customFormat="1" ht="14" x14ac:dyDescent="0.15">
      <c r="A58" s="299"/>
      <c r="B58" s="299"/>
      <c r="C58" s="299"/>
      <c r="D58" s="299"/>
      <c r="E58" s="299"/>
      <c r="F58" s="286"/>
      <c r="G58" s="286"/>
      <c r="H58" s="300"/>
      <c r="I58" s="301"/>
    </row>
  </sheetData>
  <sheetProtection sheet="1" objects="1" scenarios="1"/>
  <mergeCells count="47">
    <mergeCell ref="I10:I11"/>
    <mergeCell ref="J10:J11"/>
    <mergeCell ref="A24:D24"/>
    <mergeCell ref="A21:F21"/>
    <mergeCell ref="A22:D23"/>
    <mergeCell ref="G10:G11"/>
    <mergeCell ref="H10:H11"/>
    <mergeCell ref="A19:C19"/>
    <mergeCell ref="D19:E19"/>
    <mergeCell ref="F19:G19"/>
    <mergeCell ref="A15:G15"/>
    <mergeCell ref="A17:C18"/>
    <mergeCell ref="D17:E17"/>
    <mergeCell ref="F17:G17"/>
    <mergeCell ref="D18:E18"/>
    <mergeCell ref="F18:G18"/>
    <mergeCell ref="A1:J1"/>
    <mergeCell ref="A2:J2"/>
    <mergeCell ref="A3:J3"/>
    <mergeCell ref="G8:J8"/>
    <mergeCell ref="A8:F8"/>
    <mergeCell ref="A5:J6"/>
    <mergeCell ref="A4:J4"/>
    <mergeCell ref="A47:I47"/>
    <mergeCell ref="A40:I40"/>
    <mergeCell ref="A27:I27"/>
    <mergeCell ref="A36:I36"/>
    <mergeCell ref="A42:I42"/>
    <mergeCell ref="A28:G29"/>
    <mergeCell ref="A30:E30"/>
    <mergeCell ref="A31:E31"/>
    <mergeCell ref="A16:G16"/>
    <mergeCell ref="A57:E57"/>
    <mergeCell ref="A45:E45"/>
    <mergeCell ref="A51:E51"/>
    <mergeCell ref="A35:I35"/>
    <mergeCell ref="A37:G38"/>
    <mergeCell ref="A39:E39"/>
    <mergeCell ref="A53:I53"/>
    <mergeCell ref="A55:G56"/>
    <mergeCell ref="A48:I48"/>
    <mergeCell ref="A54:I54"/>
    <mergeCell ref="A49:G50"/>
    <mergeCell ref="A26:I26"/>
    <mergeCell ref="A32:F32"/>
    <mergeCell ref="A41:I41"/>
    <mergeCell ref="A43:G44"/>
  </mergeCells>
  <phoneticPr fontId="6" type="noConversion"/>
  <pageMargins left="0.59" right="0.59" top="0.75" bottom="0.75" header="0.31" footer="0.31"/>
  <pageSetup paperSize="9" scale="6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(DFF, DPS, DSSV)</vt:lpstr>
      <vt:lpstr>3F (DPS)</vt:lpstr>
      <vt:lpstr>HK (Lilleskolerne)</vt:lpstr>
      <vt:lpstr>Krifa</vt:lpstr>
      <vt:lpstr>Generelle satser</vt:lpstr>
      <vt:lpstr>Statens skalatrin</vt:lpstr>
      <vt:lpstr>Løntabel gældende fra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2018-09-18T07:06:22Z</cp:lastPrinted>
  <dcterms:created xsi:type="dcterms:W3CDTF">2014-05-07T09:31:49Z</dcterms:created>
  <dcterms:modified xsi:type="dcterms:W3CDTF">2018-09-28T07:38:05Z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