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4"/>
  <workbookPr autoCompressPictures="0"/>
  <mc:AlternateContent xmlns:mc="http://schemas.openxmlformats.org/markup-compatibility/2006">
    <mc:Choice Requires="x15">
      <x15ac:absPath xmlns:x15ac="http://schemas.microsoft.com/office/spreadsheetml/2010/11/ac" url="/Users/tove/Documents/Løntabeller/2019/April2019/"/>
    </mc:Choice>
  </mc:AlternateContent>
  <xr:revisionPtr revIDLastSave="0" documentId="8_{3F20ADDD-521C-CE49-87A6-CBC670509E83}" xr6:coauthVersionLast="43" xr6:coauthVersionMax="43" xr10:uidLastSave="{00000000-0000-0000-0000-000000000000}"/>
  <bookViews>
    <workbookView xWindow="0" yWindow="460" windowWidth="28140" windowHeight="17540" tabRatio="993" xr2:uid="{00000000-000D-0000-FFFF-FFFF00000000}"/>
  </bookViews>
  <sheets>
    <sheet name="Forside 1" sheetId="2" r:id="rId1"/>
    <sheet name="Lønoversigt mm." sheetId="28" r:id="rId2"/>
    <sheet name="Lærere og bh kl ledere" sheetId="1" r:id="rId3"/>
    <sheet name="Ledere" sheetId="13" r:id="rId4"/>
    <sheet name="Gymnasieskoler" sheetId="35" r:id="rId5"/>
    <sheet name="BUPL" sheetId="20" r:id="rId6"/>
    <sheet name="3f (LS_DSSV)" sheetId="24" state="hidden" r:id="rId7"/>
    <sheet name="HK (LS)" sheetId="16" state="hidden" r:id="rId8"/>
    <sheet name="3f (DFF, DPS, DSSV)" sheetId="33" r:id="rId9"/>
    <sheet name="3F (DPS)" sheetId="32" state="hidden" r:id="rId10"/>
    <sheet name="HK (DFF, DPS)" sheetId="34" r:id="rId11"/>
    <sheet name="Krifa" sheetId="39" state="hidden" r:id="rId12"/>
    <sheet name="Generelle satser" sheetId="11" r:id="rId13"/>
    <sheet name="Statens skalatrin" sheetId="10" r:id="rId14"/>
    <sheet name="Løntabel gældende fra" sheetId="12" state="hidden" r:id="rId15"/>
  </sheets>
  <externalReferences>
    <externalReference r:id="rId16"/>
  </externalReferences>
  <definedNames>
    <definedName name="procentregulering">[1]aarslon!$A$1</definedName>
    <definedName name="_xlnm.Print_Area" localSheetId="8">'3f (DFF, DPS, DSSV)'!$A$1:$J$57</definedName>
    <definedName name="_xlnm.Print_Area" localSheetId="6">'3f (LS_DSSV)'!$A$1:$J$59</definedName>
    <definedName name="_xlnm.Print_Area" localSheetId="5">BUPL!$A$1:$H$84</definedName>
    <definedName name="_xlnm.Print_Area" localSheetId="0">'Forside 1'!$A$1:$I$33</definedName>
    <definedName name="_xlnm.Print_Area" localSheetId="12">'Generelle satser'!$A$1:$H$86</definedName>
    <definedName name="_xlnm.Print_Area" localSheetId="4">Gymnasieskoler!$A$1:$H$126</definedName>
    <definedName name="_xlnm.Print_Area" localSheetId="10">'HK (DFF, DPS)'!$A$1:$K$76</definedName>
    <definedName name="_xlnm.Print_Area" localSheetId="7">'HK (LS)'!$A$1:$G$38</definedName>
    <definedName name="_xlnm.Print_Area" localSheetId="11">Krifa!$A$1:$J$55</definedName>
    <definedName name="_xlnm.Print_Area" localSheetId="3">Ledere!$A$1:$G$89</definedName>
    <definedName name="_xlnm.Print_Area" localSheetId="2">'Lærere og bh kl ledere'!$A$1:$I$166</definedName>
    <definedName name="_xlnm.Print_Area" localSheetId="14">'Løntabel gældende fra'!$A$1:$G$21</definedName>
    <definedName name="_xlnm.Print_Area" localSheetId="13">'Statens skalatrin'!$A$1:$P$158</definedName>
    <definedName name="_xlnm.Print_Titles" localSheetId="8">'3f (DFF, DPS, DSSV)'!$1:$6</definedName>
    <definedName name="_xlnm.Print_Titles" localSheetId="6">'3f (LS_DSSV)'!$1:$4</definedName>
    <definedName name="_xlnm.Print_Titles" localSheetId="5">BUPL!$1:$3</definedName>
    <definedName name="_xlnm.Print_Titles" localSheetId="12">'Generelle satser'!$1:$1</definedName>
    <definedName name="_xlnm.Print_Titles" localSheetId="4">Gymnasieskoler!$1:$1</definedName>
    <definedName name="_xlnm.Print_Titles" localSheetId="3">Ledere!$1:$4</definedName>
    <definedName name="_xlnm.Print_Titles" localSheetId="2">'Lærere og bh kl ledere'!$1:$3</definedName>
    <definedName name="_xlnm.Print_Titles" localSheetId="13">'Statens skalatrin'!$1:$5</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D30" i="13" l="1"/>
  <c r="C30" i="13"/>
  <c r="C24" i="13"/>
  <c r="C23" i="13"/>
  <c r="D22" i="13"/>
  <c r="C22" i="13"/>
  <c r="G67" i="34" l="1"/>
  <c r="H67" i="34" s="1"/>
  <c r="G68" i="34"/>
  <c r="H68" i="34" s="1"/>
  <c r="G69" i="34"/>
  <c r="H69" i="34" s="1"/>
  <c r="G71" i="34"/>
  <c r="H71" i="34" s="1"/>
  <c r="G72" i="34"/>
  <c r="H72" i="34" s="1"/>
  <c r="G73" i="34"/>
  <c r="H73" i="34" s="1"/>
  <c r="G74" i="34"/>
  <c r="H74" i="34" s="1"/>
  <c r="G76" i="34"/>
  <c r="H76" i="34" s="1"/>
  <c r="G66" i="34"/>
  <c r="H66" i="34" s="1"/>
  <c r="D76" i="34"/>
  <c r="E76" i="34" s="1"/>
  <c r="D71" i="34"/>
  <c r="E71" i="34" s="1"/>
  <c r="D72" i="34"/>
  <c r="E72" i="34" s="1"/>
  <c r="D73" i="34"/>
  <c r="E73" i="34" s="1"/>
  <c r="D74" i="34"/>
  <c r="E74" i="34" s="1"/>
  <c r="D67" i="34"/>
  <c r="E67" i="34" s="1"/>
  <c r="D68" i="34"/>
  <c r="E68" i="34" s="1"/>
  <c r="D69" i="34"/>
  <c r="E69" i="34" s="1"/>
  <c r="D66" i="34"/>
  <c r="E66" i="34" s="1"/>
  <c r="C64" i="34"/>
  <c r="F64" i="34" s="1"/>
  <c r="I58" i="34"/>
  <c r="I57" i="34"/>
  <c r="E64" i="34" s="1"/>
  <c r="H64" i="34" s="1"/>
  <c r="I51" i="34"/>
  <c r="I52" i="34"/>
  <c r="I50" i="34"/>
  <c r="G45" i="34"/>
  <c r="J45" i="34" s="1"/>
  <c r="G44" i="34"/>
  <c r="J44" i="34" s="1"/>
  <c r="G43" i="34"/>
  <c r="G42" i="34"/>
  <c r="G41" i="34"/>
  <c r="F45" i="34"/>
  <c r="F44" i="34"/>
  <c r="F43" i="34"/>
  <c r="F42" i="34"/>
  <c r="F41" i="34"/>
  <c r="E45" i="34"/>
  <c r="E44" i="34"/>
  <c r="E43" i="34"/>
  <c r="E42" i="34"/>
  <c r="E41" i="34"/>
  <c r="D45" i="34"/>
  <c r="D44" i="34"/>
  <c r="D43" i="34"/>
  <c r="D42" i="34"/>
  <c r="D41" i="34"/>
  <c r="C45" i="34"/>
  <c r="C44" i="34"/>
  <c r="C43" i="34"/>
  <c r="C42" i="34"/>
  <c r="C41" i="34"/>
  <c r="B45" i="34"/>
  <c r="B44" i="34"/>
  <c r="B43" i="34"/>
  <c r="B42" i="34"/>
  <c r="B41" i="34"/>
  <c r="J43" i="34"/>
  <c r="H43" i="34" s="1"/>
  <c r="J42" i="34"/>
  <c r="H42" i="34" s="1"/>
  <c r="J41" i="34"/>
  <c r="I41" i="34" s="1"/>
  <c r="G35" i="34"/>
  <c r="G34" i="34"/>
  <c r="G33" i="34"/>
  <c r="G32" i="34"/>
  <c r="F35" i="34"/>
  <c r="F34" i="34"/>
  <c r="F33" i="34"/>
  <c r="F32" i="34"/>
  <c r="E35" i="34"/>
  <c r="E34" i="34"/>
  <c r="E33" i="34"/>
  <c r="E32" i="34"/>
  <c r="D35" i="34"/>
  <c r="D34" i="34"/>
  <c r="D33" i="34"/>
  <c r="D32" i="34"/>
  <c r="C35" i="34"/>
  <c r="C34" i="34"/>
  <c r="C33" i="34"/>
  <c r="C32" i="34"/>
  <c r="B35" i="34"/>
  <c r="B34" i="34"/>
  <c r="B33" i="34"/>
  <c r="B32" i="34"/>
  <c r="J35" i="34"/>
  <c r="J34" i="34"/>
  <c r="I34" i="34" s="1"/>
  <c r="J33" i="34"/>
  <c r="J32" i="34"/>
  <c r="G26" i="34"/>
  <c r="J26" i="34" s="1"/>
  <c r="G25" i="34"/>
  <c r="J25" i="34" s="1"/>
  <c r="G24" i="34"/>
  <c r="J24" i="34" s="1"/>
  <c r="F26" i="34"/>
  <c r="F25" i="34"/>
  <c r="F24" i="34"/>
  <c r="E26" i="34"/>
  <c r="E25" i="34"/>
  <c r="E24" i="34"/>
  <c r="D26" i="34"/>
  <c r="D25" i="34"/>
  <c r="D24" i="34"/>
  <c r="C26" i="34"/>
  <c r="C25" i="34"/>
  <c r="C24" i="34"/>
  <c r="B26" i="34"/>
  <c r="B25" i="34"/>
  <c r="B24" i="34"/>
  <c r="G23" i="34"/>
  <c r="J23" i="34" s="1"/>
  <c r="I23" i="34" s="1"/>
  <c r="F23" i="34"/>
  <c r="E23" i="34"/>
  <c r="D23" i="34"/>
  <c r="C23" i="34"/>
  <c r="B23" i="34"/>
  <c r="G22" i="34"/>
  <c r="J22" i="34" s="1"/>
  <c r="F22" i="34"/>
  <c r="E22" i="34"/>
  <c r="D22" i="34"/>
  <c r="C22" i="34"/>
  <c r="B22" i="34"/>
  <c r="G21" i="34"/>
  <c r="J21" i="34" s="1"/>
  <c r="F21" i="34"/>
  <c r="E21" i="34"/>
  <c r="D21" i="34"/>
  <c r="C21" i="34"/>
  <c r="B21" i="34"/>
  <c r="G15" i="34"/>
  <c r="J15" i="34" s="1"/>
  <c r="G14" i="34"/>
  <c r="J14" i="34" s="1"/>
  <c r="G13" i="34"/>
  <c r="J13" i="34" s="1"/>
  <c r="I13" i="34" s="1"/>
  <c r="G12" i="34"/>
  <c r="J12" i="34" s="1"/>
  <c r="G11" i="34"/>
  <c r="J11" i="34" s="1"/>
  <c r="G10" i="34"/>
  <c r="J10" i="34" s="1"/>
  <c r="F15" i="34"/>
  <c r="F14" i="34"/>
  <c r="F13" i="34"/>
  <c r="F12" i="34"/>
  <c r="F11" i="34"/>
  <c r="F10" i="34"/>
  <c r="E15" i="34"/>
  <c r="E14" i="34"/>
  <c r="E13" i="34"/>
  <c r="E12" i="34"/>
  <c r="E11" i="34"/>
  <c r="E10" i="34"/>
  <c r="D15" i="34"/>
  <c r="D14" i="34"/>
  <c r="D13" i="34"/>
  <c r="D12" i="34"/>
  <c r="D11" i="34"/>
  <c r="D10" i="34"/>
  <c r="C15" i="34"/>
  <c r="C14" i="34"/>
  <c r="C13" i="34"/>
  <c r="C12" i="34"/>
  <c r="C11" i="34"/>
  <c r="C10" i="34"/>
  <c r="B11" i="34"/>
  <c r="B12" i="34"/>
  <c r="B13" i="34"/>
  <c r="B14" i="34"/>
  <c r="B15" i="34"/>
  <c r="B10" i="34"/>
  <c r="D64" i="34" l="1"/>
  <c r="G64" i="34" s="1"/>
  <c r="I44" i="34"/>
  <c r="H44" i="34"/>
  <c r="I43" i="34"/>
  <c r="I42" i="34"/>
  <c r="H45" i="34"/>
  <c r="I45" i="34"/>
  <c r="H41" i="34"/>
  <c r="H35" i="34"/>
  <c r="I35" i="34"/>
  <c r="H24" i="34"/>
  <c r="I24" i="34"/>
  <c r="I33" i="34"/>
  <c r="H33" i="34"/>
  <c r="I32" i="34"/>
  <c r="H32" i="34"/>
  <c r="H34" i="34"/>
  <c r="I15" i="34"/>
  <c r="H15" i="34"/>
  <c r="H12" i="34"/>
  <c r="I12" i="34"/>
  <c r="I22" i="34"/>
  <c r="H22" i="34"/>
  <c r="I25" i="34"/>
  <c r="H25" i="34"/>
  <c r="H10" i="34"/>
  <c r="I10" i="34"/>
  <c r="I14" i="34"/>
  <c r="H14" i="34"/>
  <c r="I21" i="34"/>
  <c r="H21" i="34"/>
  <c r="I11" i="34"/>
  <c r="H11" i="34"/>
  <c r="I26" i="34"/>
  <c r="H26" i="34"/>
  <c r="H13" i="34"/>
  <c r="H23" i="34"/>
  <c r="E22" i="13" l="1"/>
  <c r="F14" i="13"/>
  <c r="E14" i="13"/>
  <c r="F19" i="33"/>
  <c r="F18" i="33"/>
  <c r="F61" i="1"/>
  <c r="D61" i="1"/>
  <c r="D65" i="1"/>
  <c r="F65" i="1" s="1"/>
  <c r="D64" i="1"/>
  <c r="F64" i="1" s="1"/>
  <c r="D63" i="1"/>
  <c r="F63" i="1" s="1"/>
  <c r="D62" i="1"/>
  <c r="F62" i="1" s="1"/>
  <c r="D13" i="1"/>
  <c r="E13" i="1" s="1"/>
  <c r="B140" i="1" s="1"/>
  <c r="F140" i="1" s="1"/>
  <c r="D12" i="1"/>
  <c r="E12" i="1" s="1"/>
  <c r="B139" i="1" s="1"/>
  <c r="F139" i="1" s="1"/>
  <c r="D11" i="1"/>
  <c r="E11" i="1" s="1"/>
  <c r="B138" i="1" s="1"/>
  <c r="F138" i="1" s="1"/>
  <c r="D10" i="1"/>
  <c r="E10" i="1" s="1"/>
  <c r="B137" i="1" s="1"/>
  <c r="F137" i="1" s="1"/>
  <c r="G13" i="1"/>
  <c r="H13" i="1" s="1"/>
  <c r="B113" i="1" s="1"/>
  <c r="F113" i="1" s="1"/>
  <c r="G12" i="1"/>
  <c r="H12" i="1" s="1"/>
  <c r="B112" i="1" s="1"/>
  <c r="F112" i="1" s="1"/>
  <c r="G11" i="1"/>
  <c r="H11" i="1" s="1"/>
  <c r="B111" i="1" s="1"/>
  <c r="F111" i="1" s="1"/>
  <c r="G10" i="1"/>
  <c r="H10" i="1" s="1"/>
  <c r="B110" i="1" s="1"/>
  <c r="F110" i="1" s="1"/>
  <c r="O45" i="10"/>
  <c r="O46" i="10" s="1"/>
  <c r="O54" i="10"/>
  <c r="O55" i="10" s="1"/>
  <c r="O63" i="10"/>
  <c r="O64" i="10" s="1"/>
  <c r="D12" i="35"/>
  <c r="E12" i="35" s="1"/>
  <c r="F12" i="35" s="1"/>
  <c r="D11" i="35"/>
  <c r="E11" i="35" s="1"/>
  <c r="F11" i="35" s="1"/>
  <c r="C117" i="35"/>
  <c r="D117" i="35" s="1"/>
  <c r="E117" i="35" s="1"/>
  <c r="C116" i="35"/>
  <c r="C109" i="35"/>
  <c r="D109" i="35" s="1"/>
  <c r="E109" i="35" s="1"/>
  <c r="G102" i="35"/>
  <c r="E102" i="35"/>
  <c r="G101" i="35"/>
  <c r="E101" i="35"/>
  <c r="C93" i="35"/>
  <c r="E84" i="35"/>
  <c r="C76" i="35"/>
  <c r="E69" i="35"/>
  <c r="F69" i="35" s="1"/>
  <c r="G69" i="35" s="1"/>
  <c r="E68" i="35"/>
  <c r="E67" i="35"/>
  <c r="F67" i="35" s="1"/>
  <c r="G67" i="35" s="1"/>
  <c r="E66" i="35"/>
  <c r="E65" i="35"/>
  <c r="F65" i="35" s="1"/>
  <c r="G65" i="35" s="1"/>
  <c r="E64" i="35"/>
  <c r="F64" i="35" s="1"/>
  <c r="F57" i="35"/>
  <c r="G57" i="35" s="1"/>
  <c r="F56" i="35"/>
  <c r="F55" i="35"/>
  <c r="G55" i="35" s="1"/>
  <c r="F54" i="35"/>
  <c r="G54" i="35" s="1"/>
  <c r="F53" i="35"/>
  <c r="G53" i="35" s="1"/>
  <c r="F48" i="35"/>
  <c r="F47" i="35"/>
  <c r="F46" i="35"/>
  <c r="G46" i="35" s="1"/>
  <c r="F45" i="35"/>
  <c r="G45" i="35" s="1"/>
  <c r="F44" i="35"/>
  <c r="D35" i="35"/>
  <c r="E35" i="35" s="1"/>
  <c r="F35" i="35" s="1"/>
  <c r="D34" i="35"/>
  <c r="E34" i="35" s="1"/>
  <c r="F34" i="35" s="1"/>
  <c r="D33" i="35"/>
  <c r="E33" i="35" s="1"/>
  <c r="F33" i="35" s="1"/>
  <c r="D32" i="35"/>
  <c r="D31" i="35"/>
  <c r="E31" i="35" s="1"/>
  <c r="F31" i="35" s="1"/>
  <c r="D30" i="35"/>
  <c r="E30" i="35" s="1"/>
  <c r="F30" i="35" s="1"/>
  <c r="D29" i="35"/>
  <c r="E29" i="35" s="1"/>
  <c r="F29" i="35" s="1"/>
  <c r="D15" i="35"/>
  <c r="E15" i="35" s="1"/>
  <c r="F15" i="35" s="1"/>
  <c r="D14" i="35"/>
  <c r="E14" i="35" s="1"/>
  <c r="F14" i="35" s="1"/>
  <c r="D13" i="35"/>
  <c r="E13" i="35" s="1"/>
  <c r="F13" i="35" s="1"/>
  <c r="F46" i="20"/>
  <c r="G96" i="1"/>
  <c r="G95" i="1"/>
  <c r="G92" i="1"/>
  <c r="G91" i="1"/>
  <c r="F89" i="1"/>
  <c r="F91" i="1"/>
  <c r="F92" i="1"/>
  <c r="F93" i="1"/>
  <c r="F95" i="1"/>
  <c r="F96" i="1"/>
  <c r="E98" i="35"/>
  <c r="A74" i="20"/>
  <c r="C92" i="35"/>
  <c r="D92" i="35" s="1"/>
  <c r="C115" i="35"/>
  <c r="D115" i="35" s="1"/>
  <c r="C108" i="35"/>
  <c r="D108" i="35" s="1"/>
  <c r="E83" i="35"/>
  <c r="C75" i="35"/>
  <c r="E63" i="35"/>
  <c r="F63" i="35" s="1"/>
  <c r="F52" i="35"/>
  <c r="G52" i="35" s="1"/>
  <c r="F43" i="35"/>
  <c r="G43" i="35" s="1"/>
  <c r="E28" i="35"/>
  <c r="D28" i="35"/>
  <c r="E10" i="35"/>
  <c r="D10" i="35"/>
  <c r="E32" i="35"/>
  <c r="F32" i="35" s="1"/>
  <c r="G44" i="35"/>
  <c r="G47" i="35"/>
  <c r="G48" i="35"/>
  <c r="G56" i="35"/>
  <c r="G64" i="35"/>
  <c r="F66" i="35"/>
  <c r="G66" i="35" s="1"/>
  <c r="F68" i="35"/>
  <c r="G68" i="35" s="1"/>
  <c r="E76" i="35"/>
  <c r="D116" i="35"/>
  <c r="E116" i="35" s="1"/>
  <c r="D93" i="35"/>
  <c r="E93" i="35" s="1"/>
  <c r="F87" i="10"/>
  <c r="F88" i="10" s="1"/>
  <c r="F46" i="13"/>
  <c r="F45" i="13"/>
  <c r="F44" i="13"/>
  <c r="E40" i="10"/>
  <c r="E41" i="10" s="1"/>
  <c r="F39" i="10"/>
  <c r="F40" i="10" s="1"/>
  <c r="F41" i="10" s="1"/>
  <c r="G40" i="10"/>
  <c r="G41" i="10" s="1"/>
  <c r="H39" i="10"/>
  <c r="H40" i="10" s="1"/>
  <c r="H41" i="10" s="1"/>
  <c r="I40" i="10"/>
  <c r="I41" i="10" s="1"/>
  <c r="J39" i="10"/>
  <c r="J40" i="10" s="1"/>
  <c r="J41" i="10" s="1"/>
  <c r="K40" i="10"/>
  <c r="K41" i="10" s="1"/>
  <c r="L39" i="10"/>
  <c r="L40" i="10" s="1"/>
  <c r="L41" i="10" s="1"/>
  <c r="M41" i="10"/>
  <c r="N41" i="10"/>
  <c r="O39" i="10"/>
  <c r="O40" i="10" s="1"/>
  <c r="O41" i="10" s="1"/>
  <c r="D39" i="10"/>
  <c r="D40" i="10" s="1"/>
  <c r="D41" i="10" s="1"/>
  <c r="F64" i="13"/>
  <c r="D64" i="13"/>
  <c r="B66" i="13"/>
  <c r="C66" i="13" s="1"/>
  <c r="B67" i="13"/>
  <c r="D67" i="13" s="1"/>
  <c r="E67" i="13" s="1"/>
  <c r="F67" i="13" s="1"/>
  <c r="G67" i="13" s="1"/>
  <c r="B68" i="13"/>
  <c r="D68" i="13" s="1"/>
  <c r="E68" i="13" s="1"/>
  <c r="F68" i="13" s="1"/>
  <c r="G68" i="13" s="1"/>
  <c r="B69" i="13"/>
  <c r="D69" i="13" s="1"/>
  <c r="E69" i="13" s="1"/>
  <c r="F69" i="13" s="1"/>
  <c r="G69" i="13" s="1"/>
  <c r="B70" i="13"/>
  <c r="D70" i="13" s="1"/>
  <c r="E70" i="13" s="1"/>
  <c r="F70" i="13" s="1"/>
  <c r="G70" i="13" s="1"/>
  <c r="B71" i="13"/>
  <c r="D71" i="13" s="1"/>
  <c r="E71" i="13" s="1"/>
  <c r="F71" i="13" s="1"/>
  <c r="G71" i="13" s="1"/>
  <c r="B72" i="13"/>
  <c r="D72" i="13" s="1"/>
  <c r="E72" i="13" s="1"/>
  <c r="F72" i="13" s="1"/>
  <c r="G72" i="13" s="1"/>
  <c r="B73" i="13"/>
  <c r="D73" i="13" s="1"/>
  <c r="E73" i="13" s="1"/>
  <c r="F73" i="13" s="1"/>
  <c r="G73" i="13" s="1"/>
  <c r="B74" i="13"/>
  <c r="D74" i="13" s="1"/>
  <c r="E74" i="13" s="1"/>
  <c r="F74" i="13" s="1"/>
  <c r="G74" i="13" s="1"/>
  <c r="B75" i="13"/>
  <c r="D75" i="13" s="1"/>
  <c r="E75" i="13" s="1"/>
  <c r="F75" i="13" s="1"/>
  <c r="G75" i="13" s="1"/>
  <c r="B76" i="13"/>
  <c r="C76" i="13" s="1"/>
  <c r="B77" i="13"/>
  <c r="D77" i="13" s="1"/>
  <c r="E77" i="13" s="1"/>
  <c r="F77" i="13" s="1"/>
  <c r="G77" i="13" s="1"/>
  <c r="B78" i="13"/>
  <c r="D78" i="13" s="1"/>
  <c r="E78" i="13" s="1"/>
  <c r="F78" i="13" s="1"/>
  <c r="G78" i="13" s="1"/>
  <c r="B79" i="13"/>
  <c r="D79" i="13" s="1"/>
  <c r="E79" i="13" s="1"/>
  <c r="F79" i="13" s="1"/>
  <c r="G79" i="13" s="1"/>
  <c r="B80" i="13"/>
  <c r="D80" i="13" s="1"/>
  <c r="E80" i="13" s="1"/>
  <c r="F80" i="13" s="1"/>
  <c r="G80" i="13" s="1"/>
  <c r="B81" i="13"/>
  <c r="D81" i="13" s="1"/>
  <c r="E81" i="13" s="1"/>
  <c r="F81" i="13" s="1"/>
  <c r="G81" i="13" s="1"/>
  <c r="B82" i="13"/>
  <c r="D82" i="13" s="1"/>
  <c r="E82" i="13" s="1"/>
  <c r="F82" i="13" s="1"/>
  <c r="G82" i="13" s="1"/>
  <c r="B83" i="13"/>
  <c r="D83" i="13" s="1"/>
  <c r="E83" i="13" s="1"/>
  <c r="F83" i="13" s="1"/>
  <c r="G83" i="13" s="1"/>
  <c r="B84" i="13"/>
  <c r="C84" i="13" s="1"/>
  <c r="B85" i="13"/>
  <c r="D85" i="13" s="1"/>
  <c r="E85" i="13" s="1"/>
  <c r="F85" i="13" s="1"/>
  <c r="G85" i="13" s="1"/>
  <c r="C67" i="13"/>
  <c r="C72" i="13"/>
  <c r="C74" i="13"/>
  <c r="C75" i="13"/>
  <c r="C80" i="13"/>
  <c r="C82" i="13"/>
  <c r="C83" i="13"/>
  <c r="A1" i="10"/>
  <c r="A3" i="34"/>
  <c r="I54" i="32"/>
  <c r="I47" i="32"/>
  <c r="I40" i="32"/>
  <c r="I33" i="32"/>
  <c r="I23" i="32"/>
  <c r="A3" i="32"/>
  <c r="A3" i="33"/>
  <c r="A3" i="20"/>
  <c r="E36" i="13"/>
  <c r="E11" i="13"/>
  <c r="E20" i="13"/>
  <c r="E9" i="13"/>
  <c r="F52" i="1"/>
  <c r="D52" i="1"/>
  <c r="A29" i="1"/>
  <c r="A26" i="1"/>
  <c r="A3" i="1"/>
  <c r="G31" i="11"/>
  <c r="H31" i="11" s="1"/>
  <c r="G32" i="11"/>
  <c r="H32" i="11" s="1"/>
  <c r="G33" i="11"/>
  <c r="H33" i="11" s="1"/>
  <c r="G34" i="11"/>
  <c r="H34" i="11" s="1"/>
  <c r="H30" i="11"/>
  <c r="F30" i="11"/>
  <c r="E31" i="11"/>
  <c r="F31" i="11" s="1"/>
  <c r="E32" i="11"/>
  <c r="F32" i="11" s="1"/>
  <c r="E33" i="11"/>
  <c r="F33" i="11" s="1"/>
  <c r="E34" i="11"/>
  <c r="F34" i="11" s="1"/>
  <c r="O57" i="10"/>
  <c r="O58" i="10" s="1"/>
  <c r="G12" i="20" s="1"/>
  <c r="H12" i="20" s="1"/>
  <c r="O60" i="10"/>
  <c r="O61" i="10" s="1"/>
  <c r="G13" i="20" s="1"/>
  <c r="H13" i="20" s="1"/>
  <c r="O66" i="10"/>
  <c r="O67" i="10" s="1"/>
  <c r="O69" i="10"/>
  <c r="O70" i="10" s="1"/>
  <c r="O72" i="10"/>
  <c r="O73" i="10" s="1"/>
  <c r="G17" i="20" s="1"/>
  <c r="H17" i="20" s="1"/>
  <c r="O75" i="10"/>
  <c r="O76" i="10" s="1"/>
  <c r="G18" i="20" s="1"/>
  <c r="H18" i="20" s="1"/>
  <c r="O78" i="10"/>
  <c r="O79" i="10" s="1"/>
  <c r="G19" i="20" s="1"/>
  <c r="H19" i="20" s="1"/>
  <c r="O81" i="10"/>
  <c r="O82" i="10" s="1"/>
  <c r="G20" i="20" s="1"/>
  <c r="H20" i="20" s="1"/>
  <c r="O84" i="10"/>
  <c r="O85" i="10" s="1"/>
  <c r="G21" i="20" s="1"/>
  <c r="H21" i="20" s="1"/>
  <c r="O87" i="10"/>
  <c r="O88" i="10" s="1"/>
  <c r="G22" i="20" s="1"/>
  <c r="H22" i="20" s="1"/>
  <c r="O90" i="10"/>
  <c r="O91" i="10" s="1"/>
  <c r="O93" i="10"/>
  <c r="O94" i="10" s="1"/>
  <c r="G24" i="20" s="1"/>
  <c r="H24" i="20" s="1"/>
  <c r="O96" i="10"/>
  <c r="O97" i="10" s="1"/>
  <c r="G25" i="20"/>
  <c r="H25" i="20" s="1"/>
  <c r="O99" i="10"/>
  <c r="O100" i="10" s="1"/>
  <c r="O102" i="10"/>
  <c r="O103" i="10" s="1"/>
  <c r="O105" i="10"/>
  <c r="O106" i="10" s="1"/>
  <c r="O108" i="10"/>
  <c r="O109" i="10" s="1"/>
  <c r="O111" i="10"/>
  <c r="O112" i="10" s="1"/>
  <c r="O114" i="10"/>
  <c r="O115" i="10" s="1"/>
  <c r="G31" i="20" s="1"/>
  <c r="H31" i="20" s="1"/>
  <c r="O117" i="10"/>
  <c r="O118" i="10"/>
  <c r="O51" i="10"/>
  <c r="O52" i="10" s="1"/>
  <c r="G10" i="20" s="1"/>
  <c r="H10" i="20" s="1"/>
  <c r="O48" i="10"/>
  <c r="O49" i="10" s="1"/>
  <c r="I48" i="32"/>
  <c r="I41" i="32"/>
  <c r="I34" i="32"/>
  <c r="I25" i="32"/>
  <c r="I26" i="32"/>
  <c r="I27" i="32"/>
  <c r="I24" i="32"/>
  <c r="I39" i="33"/>
  <c r="F24" i="33"/>
  <c r="I31" i="33"/>
  <c r="I32" i="33"/>
  <c r="I33" i="33"/>
  <c r="I30" i="33"/>
  <c r="I45" i="33"/>
  <c r="I57" i="33"/>
  <c r="D57" i="10"/>
  <c r="D58" i="10" s="1"/>
  <c r="B12" i="20" s="1"/>
  <c r="D60" i="10"/>
  <c r="D61" i="10" s="1"/>
  <c r="B13" i="20" s="1"/>
  <c r="D54" i="10"/>
  <c r="D55" i="10" s="1"/>
  <c r="D51" i="10"/>
  <c r="D52" i="10" s="1"/>
  <c r="B10" i="20" s="1"/>
  <c r="I56" i="33"/>
  <c r="I50" i="33"/>
  <c r="I44" i="33"/>
  <c r="I38" i="33"/>
  <c r="I29" i="33"/>
  <c r="F23" i="33"/>
  <c r="J45" i="10"/>
  <c r="J46" i="10" s="1"/>
  <c r="L45" i="10"/>
  <c r="L46" i="10" s="1"/>
  <c r="L63" i="10"/>
  <c r="L64" i="10" s="1"/>
  <c r="J63" i="10"/>
  <c r="J64" i="10" s="1"/>
  <c r="E11" i="32" s="1"/>
  <c r="H63" i="10"/>
  <c r="H64" i="10" s="1"/>
  <c r="D11" i="32" s="1"/>
  <c r="F63" i="10"/>
  <c r="F64" i="10" s="1"/>
  <c r="F65" i="10" s="1"/>
  <c r="D63" i="10"/>
  <c r="D64" i="10" s="1"/>
  <c r="H45" i="10"/>
  <c r="H46" i="10" s="1"/>
  <c r="D8" i="20" s="1"/>
  <c r="D76" i="20" s="1"/>
  <c r="F45" i="10"/>
  <c r="F46" i="10" s="1"/>
  <c r="F47" i="10" s="1"/>
  <c r="D45" i="10"/>
  <c r="D46" i="10" s="1"/>
  <c r="B8" i="20" s="1"/>
  <c r="B76" i="20" s="1"/>
  <c r="L54" i="10"/>
  <c r="L55" i="10" s="1"/>
  <c r="J54" i="10"/>
  <c r="J55" i="10" s="1"/>
  <c r="E10" i="32" s="1"/>
  <c r="H54" i="10"/>
  <c r="H55" i="10" s="1"/>
  <c r="D11" i="24" s="1"/>
  <c r="F54" i="10"/>
  <c r="F55" i="10" s="1"/>
  <c r="G12" i="33"/>
  <c r="J12" i="33" s="1"/>
  <c r="H12" i="33" s="1"/>
  <c r="C10" i="33"/>
  <c r="C11" i="33" s="1"/>
  <c r="G10" i="33"/>
  <c r="J10" i="33" s="1"/>
  <c r="F45" i="20"/>
  <c r="H66" i="20"/>
  <c r="H65" i="20"/>
  <c r="H64" i="20"/>
  <c r="H63" i="20"/>
  <c r="H62" i="20"/>
  <c r="H61" i="20"/>
  <c r="H59" i="20"/>
  <c r="H58" i="20"/>
  <c r="H53" i="20"/>
  <c r="H52" i="20"/>
  <c r="H51" i="20"/>
  <c r="H46" i="20"/>
  <c r="G46" i="20"/>
  <c r="H45" i="20"/>
  <c r="F83" i="20"/>
  <c r="F82" i="20"/>
  <c r="O156" i="10"/>
  <c r="O157" i="10" s="1"/>
  <c r="O158" i="10" s="1"/>
  <c r="N158" i="10"/>
  <c r="M158" i="10"/>
  <c r="L156" i="10"/>
  <c r="L157" i="10" s="1"/>
  <c r="L158" i="10" s="1"/>
  <c r="K157" i="10"/>
  <c r="K158" i="10" s="1"/>
  <c r="J156" i="10"/>
  <c r="J157" i="10" s="1"/>
  <c r="J158" i="10" s="1"/>
  <c r="I157" i="10"/>
  <c r="I158" i="10" s="1"/>
  <c r="H156" i="10"/>
  <c r="H157" i="10" s="1"/>
  <c r="H158" i="10" s="1"/>
  <c r="G157" i="10"/>
  <c r="G158" i="10" s="1"/>
  <c r="F156" i="10"/>
  <c r="F157" i="10" s="1"/>
  <c r="F158" i="10" s="1"/>
  <c r="D156" i="10"/>
  <c r="D157" i="10" s="1"/>
  <c r="D158" i="10" s="1"/>
  <c r="O153" i="10"/>
  <c r="O154" i="10" s="1"/>
  <c r="O155" i="10" s="1"/>
  <c r="N155" i="10"/>
  <c r="M155" i="10"/>
  <c r="L153" i="10"/>
  <c r="L154" i="10" s="1"/>
  <c r="L155" i="10" s="1"/>
  <c r="K154" i="10"/>
  <c r="K155" i="10" s="1"/>
  <c r="J153" i="10"/>
  <c r="J154" i="10" s="1"/>
  <c r="J155" i="10" s="1"/>
  <c r="I154" i="10"/>
  <c r="I155" i="10" s="1"/>
  <c r="H153" i="10"/>
  <c r="H154" i="10" s="1"/>
  <c r="H155" i="10" s="1"/>
  <c r="G154" i="10"/>
  <c r="G155" i="10" s="1"/>
  <c r="F153" i="10"/>
  <c r="F154" i="10" s="1"/>
  <c r="F155" i="10" s="1"/>
  <c r="D153" i="10"/>
  <c r="D154" i="10" s="1"/>
  <c r="D155" i="10" s="1"/>
  <c r="O150" i="10"/>
  <c r="O151" i="10" s="1"/>
  <c r="O152" i="10" s="1"/>
  <c r="N152" i="10"/>
  <c r="M152" i="10"/>
  <c r="L150" i="10"/>
  <c r="L151" i="10" s="1"/>
  <c r="L152" i="10" s="1"/>
  <c r="K151" i="10"/>
  <c r="K152" i="10" s="1"/>
  <c r="J150" i="10"/>
  <c r="J151" i="10" s="1"/>
  <c r="J152" i="10" s="1"/>
  <c r="I151" i="10"/>
  <c r="I152" i="10"/>
  <c r="H150" i="10"/>
  <c r="H151" i="10" s="1"/>
  <c r="H152" i="10" s="1"/>
  <c r="G151" i="10"/>
  <c r="G152" i="10" s="1"/>
  <c r="F150" i="10"/>
  <c r="F151" i="10" s="1"/>
  <c r="F152" i="10" s="1"/>
  <c r="D150" i="10"/>
  <c r="D151" i="10" s="1"/>
  <c r="D152" i="10" s="1"/>
  <c r="O147" i="10"/>
  <c r="O148" i="10" s="1"/>
  <c r="N149" i="10"/>
  <c r="M149" i="10"/>
  <c r="L147" i="10"/>
  <c r="L148" i="10" s="1"/>
  <c r="L149" i="10" s="1"/>
  <c r="K148" i="10"/>
  <c r="K149" i="10" s="1"/>
  <c r="J147" i="10"/>
  <c r="J148" i="10" s="1"/>
  <c r="J149" i="10" s="1"/>
  <c r="I148" i="10"/>
  <c r="I149" i="10" s="1"/>
  <c r="H147" i="10"/>
  <c r="H148" i="10" s="1"/>
  <c r="D39" i="20" s="1"/>
  <c r="G148" i="10"/>
  <c r="G149" i="10" s="1"/>
  <c r="F147" i="10"/>
  <c r="F148" i="10" s="1"/>
  <c r="D147" i="10"/>
  <c r="D148" i="10" s="1"/>
  <c r="B39" i="20" s="1"/>
  <c r="O144" i="10"/>
  <c r="O145" i="10" s="1"/>
  <c r="O146" i="10" s="1"/>
  <c r="N146" i="10"/>
  <c r="M146" i="10"/>
  <c r="L144" i="10"/>
  <c r="L145" i="10" s="1"/>
  <c r="L146" i="10" s="1"/>
  <c r="K145" i="10"/>
  <c r="K146" i="10" s="1"/>
  <c r="J144" i="10"/>
  <c r="J145" i="10" s="1"/>
  <c r="J146" i="10" s="1"/>
  <c r="I145" i="10"/>
  <c r="I146" i="10" s="1"/>
  <c r="H144" i="10"/>
  <c r="H145" i="10" s="1"/>
  <c r="H146" i="10" s="1"/>
  <c r="G145" i="10"/>
  <c r="G146" i="10" s="1"/>
  <c r="F144" i="10"/>
  <c r="F145" i="10" s="1"/>
  <c r="F146" i="10" s="1"/>
  <c r="D144" i="10"/>
  <c r="D145" i="10" s="1"/>
  <c r="D146" i="10" s="1"/>
  <c r="O141" i="10"/>
  <c r="O142" i="10" s="1"/>
  <c r="O143" i="10" s="1"/>
  <c r="N143" i="10"/>
  <c r="M143" i="10"/>
  <c r="L141" i="10"/>
  <c r="L142" i="10" s="1"/>
  <c r="L143" i="10" s="1"/>
  <c r="K142" i="10"/>
  <c r="K143" i="10" s="1"/>
  <c r="J141" i="10"/>
  <c r="J142" i="10" s="1"/>
  <c r="J143" i="10" s="1"/>
  <c r="I142" i="10"/>
  <c r="I143" i="10" s="1"/>
  <c r="H141" i="10"/>
  <c r="H142" i="10" s="1"/>
  <c r="H143" i="10" s="1"/>
  <c r="G142" i="10"/>
  <c r="G143" i="10"/>
  <c r="F141" i="10"/>
  <c r="F142" i="10" s="1"/>
  <c r="F143" i="10" s="1"/>
  <c r="D141" i="10"/>
  <c r="D142" i="10" s="1"/>
  <c r="D143" i="10" s="1"/>
  <c r="O138" i="10"/>
  <c r="O139" i="10"/>
  <c r="O140" i="10" s="1"/>
  <c r="N140" i="10"/>
  <c r="M140" i="10"/>
  <c r="L138" i="10"/>
  <c r="L139" i="10" s="1"/>
  <c r="L140" i="10" s="1"/>
  <c r="K139" i="10"/>
  <c r="K140" i="10" s="1"/>
  <c r="J138" i="10"/>
  <c r="J139" i="10" s="1"/>
  <c r="J140" i="10" s="1"/>
  <c r="I139" i="10"/>
  <c r="I140" i="10" s="1"/>
  <c r="H138" i="10"/>
  <c r="H139" i="10" s="1"/>
  <c r="H140" i="10" s="1"/>
  <c r="G139" i="10"/>
  <c r="G140" i="10" s="1"/>
  <c r="F138" i="10"/>
  <c r="F139" i="10" s="1"/>
  <c r="F140" i="10" s="1"/>
  <c r="D138" i="10"/>
  <c r="D139" i="10" s="1"/>
  <c r="D140" i="10"/>
  <c r="O135" i="10"/>
  <c r="O136" i="10" s="1"/>
  <c r="G38" i="20" s="1"/>
  <c r="H38" i="20" s="1"/>
  <c r="N137" i="10"/>
  <c r="M137" i="10"/>
  <c r="L135" i="10"/>
  <c r="L136" i="10" s="1"/>
  <c r="L137" i="10" s="1"/>
  <c r="K136" i="10"/>
  <c r="K137" i="10" s="1"/>
  <c r="J135" i="10"/>
  <c r="J136" i="10" s="1"/>
  <c r="J137" i="10" s="1"/>
  <c r="I136" i="10"/>
  <c r="I137" i="10" s="1"/>
  <c r="H135" i="10"/>
  <c r="H136" i="10" s="1"/>
  <c r="H137" i="10" s="1"/>
  <c r="G136" i="10"/>
  <c r="G137" i="10" s="1"/>
  <c r="F135" i="10"/>
  <c r="F136" i="10" s="1"/>
  <c r="D135" i="10"/>
  <c r="D136" i="10" s="1"/>
  <c r="D137" i="10" s="1"/>
  <c r="O132" i="10"/>
  <c r="O133" i="10" s="1"/>
  <c r="O134" i="10" s="1"/>
  <c r="N134" i="10"/>
  <c r="M134" i="10"/>
  <c r="L132" i="10"/>
  <c r="L133" i="10" s="1"/>
  <c r="L134" i="10" s="1"/>
  <c r="K133" i="10"/>
  <c r="K134" i="10" s="1"/>
  <c r="J132" i="10"/>
  <c r="J133" i="10" s="1"/>
  <c r="J134" i="10" s="1"/>
  <c r="I133" i="10"/>
  <c r="I134" i="10" s="1"/>
  <c r="H132" i="10"/>
  <c r="H133" i="10" s="1"/>
  <c r="H134" i="10" s="1"/>
  <c r="G133" i="10"/>
  <c r="G134" i="10" s="1"/>
  <c r="F132" i="10"/>
  <c r="F133" i="10" s="1"/>
  <c r="F134" i="10" s="1"/>
  <c r="D132" i="10"/>
  <c r="D133" i="10" s="1"/>
  <c r="D134" i="10" s="1"/>
  <c r="O129" i="10"/>
  <c r="O130" i="10" s="1"/>
  <c r="G37" i="20" s="1"/>
  <c r="H37" i="20" s="1"/>
  <c r="N131" i="10"/>
  <c r="M131" i="10"/>
  <c r="L129" i="10"/>
  <c r="L130" i="10" s="1"/>
  <c r="F37" i="20" s="1"/>
  <c r="K130" i="10"/>
  <c r="K131" i="10" s="1"/>
  <c r="J129" i="10"/>
  <c r="J130" i="10" s="1"/>
  <c r="I130" i="10"/>
  <c r="I131" i="10" s="1"/>
  <c r="H129" i="10"/>
  <c r="H130" i="10" s="1"/>
  <c r="H131" i="10" s="1"/>
  <c r="G130" i="10"/>
  <c r="G131" i="10" s="1"/>
  <c r="F129" i="10"/>
  <c r="F130" i="10" s="1"/>
  <c r="D129" i="10"/>
  <c r="D130" i="10" s="1"/>
  <c r="B37" i="20" s="1"/>
  <c r="O126" i="10"/>
  <c r="O127" i="10" s="1"/>
  <c r="O128" i="10" s="1"/>
  <c r="N128" i="10"/>
  <c r="M128" i="10"/>
  <c r="L126" i="10"/>
  <c r="L127" i="10" s="1"/>
  <c r="L128" i="10" s="1"/>
  <c r="K127" i="10"/>
  <c r="K128" i="10" s="1"/>
  <c r="J126" i="10"/>
  <c r="J127" i="10" s="1"/>
  <c r="J128" i="10" s="1"/>
  <c r="I127" i="10"/>
  <c r="I128" i="10" s="1"/>
  <c r="H126" i="10"/>
  <c r="H127" i="10" s="1"/>
  <c r="H128" i="10" s="1"/>
  <c r="G127" i="10"/>
  <c r="G128" i="10" s="1"/>
  <c r="F126" i="10"/>
  <c r="F127" i="10" s="1"/>
  <c r="F128" i="10" s="1"/>
  <c r="D126" i="10"/>
  <c r="D127" i="10" s="1"/>
  <c r="D128" i="10" s="1"/>
  <c r="O123" i="10"/>
  <c r="O124" i="10" s="1"/>
  <c r="N125" i="10"/>
  <c r="M125" i="10"/>
  <c r="L123" i="10"/>
  <c r="L124" i="10" s="1"/>
  <c r="K124" i="10"/>
  <c r="K125" i="10" s="1"/>
  <c r="J123" i="10"/>
  <c r="J124" i="10" s="1"/>
  <c r="J125" i="10" s="1"/>
  <c r="I124" i="10"/>
  <c r="I125" i="10" s="1"/>
  <c r="H123" i="10"/>
  <c r="H124" i="10"/>
  <c r="G124" i="10"/>
  <c r="G125" i="10" s="1"/>
  <c r="F123" i="10"/>
  <c r="F124" i="10" s="1"/>
  <c r="D123" i="10"/>
  <c r="D124" i="10" s="1"/>
  <c r="O120" i="10"/>
  <c r="O121" i="10" s="1"/>
  <c r="O122" i="10" s="1"/>
  <c r="N122" i="10"/>
  <c r="M122" i="10"/>
  <c r="L120" i="10"/>
  <c r="L121" i="10" s="1"/>
  <c r="L122" i="10" s="1"/>
  <c r="K121" i="10"/>
  <c r="K122" i="10" s="1"/>
  <c r="J120" i="10"/>
  <c r="J121" i="10" s="1"/>
  <c r="J122" i="10" s="1"/>
  <c r="I121" i="10"/>
  <c r="I122" i="10" s="1"/>
  <c r="H120" i="10"/>
  <c r="H121" i="10" s="1"/>
  <c r="H122" i="10" s="1"/>
  <c r="G121" i="10"/>
  <c r="G122" i="10" s="1"/>
  <c r="F120" i="10"/>
  <c r="F121" i="10" s="1"/>
  <c r="F122" i="10" s="1"/>
  <c r="D120" i="10"/>
  <c r="D121" i="10" s="1"/>
  <c r="D122" i="10" s="1"/>
  <c r="N119" i="10"/>
  <c r="M119" i="10"/>
  <c r="L117" i="10"/>
  <c r="L118" i="10" s="1"/>
  <c r="L119" i="10" s="1"/>
  <c r="K118" i="10"/>
  <c r="K119" i="10" s="1"/>
  <c r="J117" i="10"/>
  <c r="J118" i="10" s="1"/>
  <c r="J119" i="10" s="1"/>
  <c r="I118" i="10"/>
  <c r="I119" i="10" s="1"/>
  <c r="H117" i="10"/>
  <c r="H118" i="10" s="1"/>
  <c r="G118" i="10"/>
  <c r="G119" i="10" s="1"/>
  <c r="F117" i="10"/>
  <c r="F118" i="10" s="1"/>
  <c r="D117" i="10"/>
  <c r="D118" i="10" s="1"/>
  <c r="B32" i="20" s="1"/>
  <c r="N116" i="10"/>
  <c r="M116" i="10"/>
  <c r="L114" i="10"/>
  <c r="L115" i="10" s="1"/>
  <c r="L116" i="10" s="1"/>
  <c r="K115" i="10"/>
  <c r="K116" i="10"/>
  <c r="J114" i="10"/>
  <c r="J115" i="10" s="1"/>
  <c r="I115" i="10"/>
  <c r="I116" i="10" s="1"/>
  <c r="H114" i="10"/>
  <c r="H115" i="10" s="1"/>
  <c r="H116" i="10" s="1"/>
  <c r="G115" i="10"/>
  <c r="G116" i="10" s="1"/>
  <c r="F114" i="10"/>
  <c r="F115" i="10" s="1"/>
  <c r="D114" i="10"/>
  <c r="D115" i="10" s="1"/>
  <c r="D116" i="10" s="1"/>
  <c r="N113" i="10"/>
  <c r="M113" i="10"/>
  <c r="L111" i="10"/>
  <c r="L112" i="10" s="1"/>
  <c r="L113" i="10" s="1"/>
  <c r="K112" i="10"/>
  <c r="K113" i="10" s="1"/>
  <c r="J111" i="10"/>
  <c r="J112" i="10" s="1"/>
  <c r="I112" i="10"/>
  <c r="I113" i="10" s="1"/>
  <c r="H111" i="10"/>
  <c r="H112" i="10" s="1"/>
  <c r="G112" i="10"/>
  <c r="G113" i="10" s="1"/>
  <c r="F111" i="10"/>
  <c r="F112" i="10" s="1"/>
  <c r="F113" i="10" s="1"/>
  <c r="D111" i="10"/>
  <c r="D112" i="10" s="1"/>
  <c r="D113" i="10" s="1"/>
  <c r="N110" i="10"/>
  <c r="M110" i="10"/>
  <c r="L108" i="10"/>
  <c r="L109" i="10" s="1"/>
  <c r="L110" i="10" s="1"/>
  <c r="K109" i="10"/>
  <c r="K110" i="10" s="1"/>
  <c r="J108" i="10"/>
  <c r="J109" i="10" s="1"/>
  <c r="I109" i="10"/>
  <c r="I110" i="10" s="1"/>
  <c r="H108" i="10"/>
  <c r="H109" i="10" s="1"/>
  <c r="G109" i="10"/>
  <c r="G110" i="10" s="1"/>
  <c r="F108" i="10"/>
  <c r="F109" i="10" s="1"/>
  <c r="F110" i="10" s="1"/>
  <c r="D108" i="10"/>
  <c r="D109" i="10" s="1"/>
  <c r="N107" i="10"/>
  <c r="M107" i="10"/>
  <c r="L105" i="10"/>
  <c r="L106" i="10" s="1"/>
  <c r="L107" i="10" s="1"/>
  <c r="K106" i="10"/>
  <c r="K107" i="10" s="1"/>
  <c r="J105" i="10"/>
  <c r="J106" i="10" s="1"/>
  <c r="J107" i="10" s="1"/>
  <c r="I106" i="10"/>
  <c r="I107" i="10" s="1"/>
  <c r="H105" i="10"/>
  <c r="H106" i="10" s="1"/>
  <c r="G106" i="10"/>
  <c r="G107" i="10" s="1"/>
  <c r="F105" i="10"/>
  <c r="F106" i="10" s="1"/>
  <c r="D105" i="10"/>
  <c r="D106" i="10" s="1"/>
  <c r="N104" i="10"/>
  <c r="M104" i="10"/>
  <c r="L102" i="10"/>
  <c r="L103" i="10" s="1"/>
  <c r="K103" i="10"/>
  <c r="K104" i="10" s="1"/>
  <c r="J102" i="10"/>
  <c r="J103" i="10" s="1"/>
  <c r="I103" i="10"/>
  <c r="I104" i="10" s="1"/>
  <c r="H102" i="10"/>
  <c r="H103" i="10" s="1"/>
  <c r="H104" i="10" s="1"/>
  <c r="G103" i="10"/>
  <c r="G104" i="10"/>
  <c r="F102" i="10"/>
  <c r="F103" i="10" s="1"/>
  <c r="F104" i="10" s="1"/>
  <c r="D102" i="10"/>
  <c r="D103" i="10" s="1"/>
  <c r="N101" i="10"/>
  <c r="M101" i="10"/>
  <c r="L99" i="10"/>
  <c r="L100" i="10" s="1"/>
  <c r="L101" i="10" s="1"/>
  <c r="K100" i="10"/>
  <c r="K101" i="10"/>
  <c r="J99" i="10"/>
  <c r="J100" i="10" s="1"/>
  <c r="J101" i="10" s="1"/>
  <c r="I100" i="10"/>
  <c r="I101" i="10" s="1"/>
  <c r="H99" i="10"/>
  <c r="H100" i="10" s="1"/>
  <c r="H101" i="10" s="1"/>
  <c r="G100" i="10"/>
  <c r="G101" i="10" s="1"/>
  <c r="F99" i="10"/>
  <c r="F100" i="10" s="1"/>
  <c r="D99" i="10"/>
  <c r="D100" i="10" s="1"/>
  <c r="N98" i="10"/>
  <c r="M98" i="10"/>
  <c r="L96" i="10"/>
  <c r="L97" i="10" s="1"/>
  <c r="L98" i="10" s="1"/>
  <c r="K97" i="10"/>
  <c r="K98" i="10" s="1"/>
  <c r="J96" i="10"/>
  <c r="J97" i="10" s="1"/>
  <c r="I97" i="10"/>
  <c r="I98" i="10" s="1"/>
  <c r="H96" i="10"/>
  <c r="H97" i="10" s="1"/>
  <c r="G97" i="10"/>
  <c r="G98" i="10"/>
  <c r="F96" i="10"/>
  <c r="F97" i="10" s="1"/>
  <c r="F98" i="10" s="1"/>
  <c r="D96" i="10"/>
  <c r="D97" i="10" s="1"/>
  <c r="N95" i="10"/>
  <c r="M95" i="10"/>
  <c r="L93" i="10"/>
  <c r="L94" i="10" s="1"/>
  <c r="L95" i="10" s="1"/>
  <c r="K94" i="10"/>
  <c r="K95" i="10" s="1"/>
  <c r="J93" i="10"/>
  <c r="J94" i="10"/>
  <c r="J95" i="10" s="1"/>
  <c r="I94" i="10"/>
  <c r="I95" i="10" s="1"/>
  <c r="H93" i="10"/>
  <c r="H94" i="10"/>
  <c r="H95" i="10" s="1"/>
  <c r="G94" i="10"/>
  <c r="G95" i="10" s="1"/>
  <c r="F93" i="10"/>
  <c r="F94" i="10" s="1"/>
  <c r="D93" i="10"/>
  <c r="D94" i="10"/>
  <c r="B24" i="20" s="1"/>
  <c r="N92" i="10"/>
  <c r="M92" i="10"/>
  <c r="L90" i="10"/>
  <c r="L91" i="10" s="1"/>
  <c r="K91" i="10"/>
  <c r="K92" i="10" s="1"/>
  <c r="J90" i="10"/>
  <c r="J91" i="10" s="1"/>
  <c r="J92" i="10" s="1"/>
  <c r="I91" i="10"/>
  <c r="I92" i="10" s="1"/>
  <c r="H90" i="10"/>
  <c r="H91" i="10" s="1"/>
  <c r="G91" i="10"/>
  <c r="G92" i="10" s="1"/>
  <c r="F90" i="10"/>
  <c r="F91" i="10" s="1"/>
  <c r="F92" i="10" s="1"/>
  <c r="D90" i="10"/>
  <c r="D91" i="10" s="1"/>
  <c r="O89" i="10"/>
  <c r="N89" i="10"/>
  <c r="M89" i="10"/>
  <c r="L87" i="10"/>
  <c r="L88" i="10" s="1"/>
  <c r="L89" i="10" s="1"/>
  <c r="K88" i="10"/>
  <c r="K89" i="10" s="1"/>
  <c r="J87" i="10"/>
  <c r="J88" i="10" s="1"/>
  <c r="J89" i="10" s="1"/>
  <c r="I88" i="10"/>
  <c r="I89" i="10" s="1"/>
  <c r="H87" i="10"/>
  <c r="H88" i="10" s="1"/>
  <c r="D22" i="20" s="1"/>
  <c r="G88" i="10"/>
  <c r="G89" i="10" s="1"/>
  <c r="E88" i="10"/>
  <c r="E89" i="10" s="1"/>
  <c r="D87" i="10"/>
  <c r="D88" i="10" s="1"/>
  <c r="D89" i="10" s="1"/>
  <c r="O86" i="10"/>
  <c r="N86" i="10"/>
  <c r="M86" i="10"/>
  <c r="L84" i="10"/>
  <c r="L85" i="10" s="1"/>
  <c r="L86" i="10" s="1"/>
  <c r="K85" i="10"/>
  <c r="K86" i="10" s="1"/>
  <c r="J84" i="10"/>
  <c r="J85" i="10"/>
  <c r="J86" i="10" s="1"/>
  <c r="I85" i="10"/>
  <c r="I86" i="10" s="1"/>
  <c r="H84" i="10"/>
  <c r="H85" i="10" s="1"/>
  <c r="G85" i="10"/>
  <c r="G86" i="10" s="1"/>
  <c r="F84" i="10"/>
  <c r="F85" i="10" s="1"/>
  <c r="F86" i="10" s="1"/>
  <c r="D84" i="10"/>
  <c r="D85" i="10" s="1"/>
  <c r="O83" i="10"/>
  <c r="N83" i="10"/>
  <c r="M83" i="10"/>
  <c r="L81" i="10"/>
  <c r="L82" i="10" s="1"/>
  <c r="L83" i="10" s="1"/>
  <c r="K82" i="10"/>
  <c r="K83" i="10" s="1"/>
  <c r="J81" i="10"/>
  <c r="J82" i="10" s="1"/>
  <c r="J83" i="10" s="1"/>
  <c r="I82" i="10"/>
  <c r="I83" i="10" s="1"/>
  <c r="H81" i="10"/>
  <c r="H82" i="10" s="1"/>
  <c r="H83" i="10" s="1"/>
  <c r="G82" i="10"/>
  <c r="G83" i="10" s="1"/>
  <c r="F81" i="10"/>
  <c r="F82" i="10" s="1"/>
  <c r="F83" i="10" s="1"/>
  <c r="D81" i="10"/>
  <c r="D82" i="10" s="1"/>
  <c r="D83" i="10" s="1"/>
  <c r="N80" i="10"/>
  <c r="M80" i="10"/>
  <c r="L78" i="10"/>
  <c r="L79" i="10" s="1"/>
  <c r="F19" i="20" s="1"/>
  <c r="K79" i="10"/>
  <c r="K80" i="10" s="1"/>
  <c r="J78" i="10"/>
  <c r="J79" i="10" s="1"/>
  <c r="I79" i="10"/>
  <c r="I80" i="10"/>
  <c r="H78" i="10"/>
  <c r="H79" i="10" s="1"/>
  <c r="G79" i="10"/>
  <c r="G80" i="10" s="1"/>
  <c r="F78" i="10"/>
  <c r="F79" i="10" s="1"/>
  <c r="C19" i="20" s="1"/>
  <c r="D78" i="10"/>
  <c r="D79" i="10" s="1"/>
  <c r="N77" i="10"/>
  <c r="M77" i="10"/>
  <c r="L75" i="10"/>
  <c r="L76" i="10" s="1"/>
  <c r="F18" i="20" s="1"/>
  <c r="K76" i="10"/>
  <c r="K77" i="10" s="1"/>
  <c r="J75" i="10"/>
  <c r="J76" i="10" s="1"/>
  <c r="I76" i="10"/>
  <c r="I77" i="10" s="1"/>
  <c r="H75" i="10"/>
  <c r="H76" i="10" s="1"/>
  <c r="G76" i="10"/>
  <c r="G77" i="10" s="1"/>
  <c r="F75" i="10"/>
  <c r="F76" i="10" s="1"/>
  <c r="D75" i="10"/>
  <c r="D76" i="10" s="1"/>
  <c r="B18" i="20" s="1"/>
  <c r="N74" i="10"/>
  <c r="M74" i="10"/>
  <c r="L72" i="10"/>
  <c r="L73" i="10" s="1"/>
  <c r="F17" i="20" s="1"/>
  <c r="K73" i="10"/>
  <c r="K74" i="10" s="1"/>
  <c r="J72" i="10"/>
  <c r="J73" i="10" s="1"/>
  <c r="I73" i="10"/>
  <c r="I74" i="10" s="1"/>
  <c r="H72" i="10"/>
  <c r="H73" i="10" s="1"/>
  <c r="G73" i="10"/>
  <c r="G74" i="10" s="1"/>
  <c r="F72" i="10"/>
  <c r="F73" i="10" s="1"/>
  <c r="C17" i="20" s="1"/>
  <c r="D72" i="10"/>
  <c r="D73" i="10" s="1"/>
  <c r="N71" i="10"/>
  <c r="M71" i="10"/>
  <c r="L69" i="10"/>
  <c r="L70" i="10" s="1"/>
  <c r="F16" i="20" s="1"/>
  <c r="K70" i="10"/>
  <c r="K71" i="10" s="1"/>
  <c r="J69" i="10"/>
  <c r="J70" i="10" s="1"/>
  <c r="I70" i="10"/>
  <c r="I71" i="10" s="1"/>
  <c r="H69" i="10"/>
  <c r="H70" i="10" s="1"/>
  <c r="G70" i="10"/>
  <c r="G71" i="10" s="1"/>
  <c r="F69" i="10"/>
  <c r="F70" i="10" s="1"/>
  <c r="F71" i="10" s="1"/>
  <c r="D69" i="10"/>
  <c r="D70" i="10" s="1"/>
  <c r="B16" i="20" s="1"/>
  <c r="O68" i="10"/>
  <c r="N68" i="10"/>
  <c r="M68" i="10"/>
  <c r="L66" i="10"/>
  <c r="L67" i="10" s="1"/>
  <c r="K67" i="10"/>
  <c r="K68" i="10" s="1"/>
  <c r="J66" i="10"/>
  <c r="J67" i="10" s="1"/>
  <c r="E13" i="33" s="1"/>
  <c r="I67" i="10"/>
  <c r="I68" i="10" s="1"/>
  <c r="H66" i="10"/>
  <c r="H67" i="10" s="1"/>
  <c r="D15" i="20" s="1"/>
  <c r="G67" i="10"/>
  <c r="G68" i="10" s="1"/>
  <c r="F66" i="10"/>
  <c r="F67" i="10" s="1"/>
  <c r="C15" i="20" s="1"/>
  <c r="D66" i="10"/>
  <c r="D67" i="10" s="1"/>
  <c r="N65" i="10"/>
  <c r="M65" i="10"/>
  <c r="K64" i="10"/>
  <c r="K65" i="10" s="1"/>
  <c r="I64" i="10"/>
  <c r="I65" i="10" s="1"/>
  <c r="G64" i="10"/>
  <c r="G65" i="10" s="1"/>
  <c r="C14" i="20"/>
  <c r="N62" i="10"/>
  <c r="M62" i="10"/>
  <c r="L60" i="10"/>
  <c r="L61" i="10" s="1"/>
  <c r="F13" i="20" s="1"/>
  <c r="K61" i="10"/>
  <c r="K62" i="10" s="1"/>
  <c r="J60" i="10"/>
  <c r="J61" i="10" s="1"/>
  <c r="J62" i="10" s="1"/>
  <c r="I61" i="10"/>
  <c r="I62" i="10" s="1"/>
  <c r="H60" i="10"/>
  <c r="H61" i="10" s="1"/>
  <c r="G61" i="10"/>
  <c r="G62" i="10" s="1"/>
  <c r="F60" i="10"/>
  <c r="F61" i="10" s="1"/>
  <c r="C13" i="20" s="1"/>
  <c r="N59" i="10"/>
  <c r="M59" i="10"/>
  <c r="L57" i="10"/>
  <c r="L58" i="10" s="1"/>
  <c r="K58" i="10"/>
  <c r="K59" i="10"/>
  <c r="J57" i="10"/>
  <c r="J58" i="10" s="1"/>
  <c r="E12" i="20" s="1"/>
  <c r="I58" i="10"/>
  <c r="I59" i="10" s="1"/>
  <c r="H57" i="10"/>
  <c r="H58" i="10" s="1"/>
  <c r="D12" i="20" s="1"/>
  <c r="G58" i="10"/>
  <c r="G59" i="10"/>
  <c r="F57" i="10"/>
  <c r="F58" i="10" s="1"/>
  <c r="C12" i="20" s="1"/>
  <c r="N56" i="10"/>
  <c r="M56" i="10"/>
  <c r="K55" i="10"/>
  <c r="K56" i="10" s="1"/>
  <c r="I55" i="10"/>
  <c r="I56" i="10" s="1"/>
  <c r="G55" i="10"/>
  <c r="G56" i="10" s="1"/>
  <c r="N53" i="10"/>
  <c r="M53" i="10"/>
  <c r="L51" i="10"/>
  <c r="L52" i="10" s="1"/>
  <c r="K52" i="10"/>
  <c r="K53" i="10" s="1"/>
  <c r="J51" i="10"/>
  <c r="J52" i="10" s="1"/>
  <c r="I52" i="10"/>
  <c r="I53" i="10" s="1"/>
  <c r="H51" i="10"/>
  <c r="H52" i="10" s="1"/>
  <c r="G52" i="10"/>
  <c r="G53" i="10" s="1"/>
  <c r="F51" i="10"/>
  <c r="F52" i="10" s="1"/>
  <c r="N50" i="10"/>
  <c r="M50" i="10"/>
  <c r="L48" i="10"/>
  <c r="L49" i="10" s="1"/>
  <c r="K49" i="10"/>
  <c r="K50" i="10" s="1"/>
  <c r="J48" i="10"/>
  <c r="J49" i="10" s="1"/>
  <c r="I49" i="10"/>
  <c r="I50" i="10" s="1"/>
  <c r="H48" i="10"/>
  <c r="H49" i="10"/>
  <c r="D9" i="20" s="1"/>
  <c r="G49" i="10"/>
  <c r="G50" i="10" s="1"/>
  <c r="F48" i="10"/>
  <c r="F49" i="10"/>
  <c r="F50" i="10" s="1"/>
  <c r="D48" i="10"/>
  <c r="D49" i="10" s="1"/>
  <c r="B9" i="20" s="1"/>
  <c r="N47" i="10"/>
  <c r="M47" i="10"/>
  <c r="K46" i="10"/>
  <c r="K47" i="10" s="1"/>
  <c r="I46" i="10"/>
  <c r="I47" i="10" s="1"/>
  <c r="F24" i="24"/>
  <c r="G46" i="10"/>
  <c r="G47" i="10" s="1"/>
  <c r="O42" i="10"/>
  <c r="O43" i="10" s="1"/>
  <c r="O44" i="10" s="1"/>
  <c r="N44" i="10"/>
  <c r="M44" i="10"/>
  <c r="L42" i="10"/>
  <c r="L43" i="10" s="1"/>
  <c r="L44" i="10" s="1"/>
  <c r="K43" i="10"/>
  <c r="K44" i="10" s="1"/>
  <c r="J42" i="10"/>
  <c r="J43" i="10" s="1"/>
  <c r="J44" i="10" s="1"/>
  <c r="I43" i="10"/>
  <c r="I44" i="10" s="1"/>
  <c r="H42" i="10"/>
  <c r="H43" i="10" s="1"/>
  <c r="H44" i="10" s="1"/>
  <c r="G43" i="10"/>
  <c r="G44" i="10"/>
  <c r="F42" i="10"/>
  <c r="F43" i="10" s="1"/>
  <c r="F44" i="10" s="1"/>
  <c r="D42" i="10"/>
  <c r="D43" i="10" s="1"/>
  <c r="D44" i="10" s="1"/>
  <c r="O36" i="10"/>
  <c r="O37" i="10" s="1"/>
  <c r="O38" i="10" s="1"/>
  <c r="N38" i="10"/>
  <c r="M38" i="10"/>
  <c r="L36" i="10"/>
  <c r="L37" i="10" s="1"/>
  <c r="L38" i="10" s="1"/>
  <c r="K37" i="10"/>
  <c r="K38" i="10" s="1"/>
  <c r="J36" i="10"/>
  <c r="J37" i="10" s="1"/>
  <c r="J38" i="10" s="1"/>
  <c r="I37" i="10"/>
  <c r="I38" i="10" s="1"/>
  <c r="H36" i="10"/>
  <c r="H37" i="10" s="1"/>
  <c r="H38" i="10" s="1"/>
  <c r="G37" i="10"/>
  <c r="G38" i="10" s="1"/>
  <c r="F36" i="10"/>
  <c r="F37" i="10" s="1"/>
  <c r="F38" i="10" s="1"/>
  <c r="D36" i="10"/>
  <c r="D37" i="10" s="1"/>
  <c r="D38" i="10" s="1"/>
  <c r="O33" i="10"/>
  <c r="O34" i="10" s="1"/>
  <c r="O35" i="10" s="1"/>
  <c r="N35" i="10"/>
  <c r="M35" i="10"/>
  <c r="L33" i="10"/>
  <c r="L34" i="10" s="1"/>
  <c r="L35" i="10" s="1"/>
  <c r="K34" i="10"/>
  <c r="K35" i="10" s="1"/>
  <c r="J33" i="10"/>
  <c r="J34" i="10" s="1"/>
  <c r="J35" i="10" s="1"/>
  <c r="I34" i="10"/>
  <c r="I35" i="10" s="1"/>
  <c r="H33" i="10"/>
  <c r="H34" i="10" s="1"/>
  <c r="H35" i="10" s="1"/>
  <c r="G34" i="10"/>
  <c r="G35" i="10" s="1"/>
  <c r="F33" i="10"/>
  <c r="F34" i="10" s="1"/>
  <c r="F35" i="10" s="1"/>
  <c r="D33" i="10"/>
  <c r="D34" i="10" s="1"/>
  <c r="D35" i="10" s="1"/>
  <c r="O30" i="10"/>
  <c r="O31" i="10" s="1"/>
  <c r="O32" i="10" s="1"/>
  <c r="N32" i="10"/>
  <c r="M32" i="10"/>
  <c r="L30" i="10"/>
  <c r="L31" i="10" s="1"/>
  <c r="L32" i="10" s="1"/>
  <c r="K31" i="10"/>
  <c r="K32" i="10" s="1"/>
  <c r="J30" i="10"/>
  <c r="J31" i="10" s="1"/>
  <c r="J32" i="10" s="1"/>
  <c r="I31" i="10"/>
  <c r="I32" i="10" s="1"/>
  <c r="H30" i="10"/>
  <c r="H31" i="10" s="1"/>
  <c r="H32" i="10" s="1"/>
  <c r="G31" i="10"/>
  <c r="G32" i="10" s="1"/>
  <c r="F30" i="10"/>
  <c r="F31" i="10" s="1"/>
  <c r="F32" i="10" s="1"/>
  <c r="D30" i="10"/>
  <c r="D31" i="10" s="1"/>
  <c r="D32" i="10" s="1"/>
  <c r="O27" i="10"/>
  <c r="O28" i="10" s="1"/>
  <c r="O29" i="10" s="1"/>
  <c r="N29" i="10"/>
  <c r="M29" i="10"/>
  <c r="L27" i="10"/>
  <c r="L28" i="10" s="1"/>
  <c r="L29" i="10" s="1"/>
  <c r="K28" i="10"/>
  <c r="K29" i="10" s="1"/>
  <c r="J27" i="10"/>
  <c r="J28" i="10" s="1"/>
  <c r="J29" i="10" s="1"/>
  <c r="I28" i="10"/>
  <c r="I29" i="10" s="1"/>
  <c r="H27" i="10"/>
  <c r="H28" i="10" s="1"/>
  <c r="H29" i="10" s="1"/>
  <c r="G28" i="10"/>
  <c r="G29" i="10" s="1"/>
  <c r="F27" i="10"/>
  <c r="F28" i="10" s="1"/>
  <c r="F29" i="10" s="1"/>
  <c r="D27" i="10"/>
  <c r="D28" i="10" s="1"/>
  <c r="D29" i="10" s="1"/>
  <c r="O24" i="10"/>
  <c r="O25" i="10" s="1"/>
  <c r="O26" i="10" s="1"/>
  <c r="N26" i="10"/>
  <c r="M26" i="10"/>
  <c r="L24" i="10"/>
  <c r="L25" i="10" s="1"/>
  <c r="L26" i="10" s="1"/>
  <c r="K25" i="10"/>
  <c r="K26" i="10" s="1"/>
  <c r="J24" i="10"/>
  <c r="J25" i="10" s="1"/>
  <c r="J26" i="10" s="1"/>
  <c r="I25" i="10"/>
  <c r="I26" i="10" s="1"/>
  <c r="H24" i="10"/>
  <c r="H25" i="10" s="1"/>
  <c r="H26" i="10" s="1"/>
  <c r="G25" i="10"/>
  <c r="G26" i="10" s="1"/>
  <c r="F24" i="10"/>
  <c r="F25" i="10" s="1"/>
  <c r="F26" i="10" s="1"/>
  <c r="D24" i="10"/>
  <c r="D25" i="10" s="1"/>
  <c r="D26" i="10" s="1"/>
  <c r="O21" i="10"/>
  <c r="O22" i="10" s="1"/>
  <c r="O23" i="10" s="1"/>
  <c r="N23" i="10"/>
  <c r="M23" i="10"/>
  <c r="L21" i="10"/>
  <c r="L22" i="10" s="1"/>
  <c r="L23" i="10" s="1"/>
  <c r="K22" i="10"/>
  <c r="K23" i="10" s="1"/>
  <c r="J21" i="10"/>
  <c r="J22" i="10" s="1"/>
  <c r="J23" i="10" s="1"/>
  <c r="I22" i="10"/>
  <c r="I23" i="10" s="1"/>
  <c r="H21" i="10"/>
  <c r="H22" i="10" s="1"/>
  <c r="H23" i="10" s="1"/>
  <c r="G22" i="10"/>
  <c r="G23" i="10" s="1"/>
  <c r="F21" i="10"/>
  <c r="F22" i="10" s="1"/>
  <c r="F23" i="10" s="1"/>
  <c r="D21" i="10"/>
  <c r="D22" i="10" s="1"/>
  <c r="D23" i="10" s="1"/>
  <c r="O18" i="10"/>
  <c r="O19" i="10" s="1"/>
  <c r="O20" i="10" s="1"/>
  <c r="N20" i="10"/>
  <c r="M20" i="10"/>
  <c r="L18" i="10"/>
  <c r="L19" i="10" s="1"/>
  <c r="L20" i="10" s="1"/>
  <c r="K19" i="10"/>
  <c r="K20" i="10" s="1"/>
  <c r="J18" i="10"/>
  <c r="J19" i="10" s="1"/>
  <c r="J20" i="10" s="1"/>
  <c r="I19" i="10"/>
  <c r="I20" i="10" s="1"/>
  <c r="H18" i="10"/>
  <c r="H19" i="10" s="1"/>
  <c r="H20" i="10" s="1"/>
  <c r="G19" i="10"/>
  <c r="G20" i="10" s="1"/>
  <c r="F18" i="10"/>
  <c r="F19" i="10" s="1"/>
  <c r="F20" i="10" s="1"/>
  <c r="D18" i="10"/>
  <c r="D19" i="10" s="1"/>
  <c r="D20" i="10" s="1"/>
  <c r="O15" i="10"/>
  <c r="O16" i="10" s="1"/>
  <c r="O17" i="10" s="1"/>
  <c r="N17" i="10"/>
  <c r="M17" i="10"/>
  <c r="L15" i="10"/>
  <c r="L16" i="10" s="1"/>
  <c r="L17" i="10" s="1"/>
  <c r="K16" i="10"/>
  <c r="K17" i="10" s="1"/>
  <c r="J15" i="10"/>
  <c r="J16" i="10" s="1"/>
  <c r="J17" i="10" s="1"/>
  <c r="I16" i="10"/>
  <c r="I17" i="10" s="1"/>
  <c r="H15" i="10"/>
  <c r="H16" i="10" s="1"/>
  <c r="H17" i="10" s="1"/>
  <c r="G16" i="10"/>
  <c r="G17" i="10" s="1"/>
  <c r="F15" i="10"/>
  <c r="F16" i="10" s="1"/>
  <c r="F17" i="10" s="1"/>
  <c r="D15" i="10"/>
  <c r="D16" i="10" s="1"/>
  <c r="D17" i="10" s="1"/>
  <c r="O12" i="10"/>
  <c r="O13" i="10" s="1"/>
  <c r="O14" i="10" s="1"/>
  <c r="N14" i="10"/>
  <c r="M14" i="10"/>
  <c r="L12" i="10"/>
  <c r="L13" i="10" s="1"/>
  <c r="L14" i="10" s="1"/>
  <c r="K13" i="10"/>
  <c r="K14" i="10" s="1"/>
  <c r="J12" i="10"/>
  <c r="J13" i="10" s="1"/>
  <c r="J14" i="10" s="1"/>
  <c r="I13" i="10"/>
  <c r="I14" i="10" s="1"/>
  <c r="H12" i="10"/>
  <c r="H13" i="10" s="1"/>
  <c r="H14" i="10" s="1"/>
  <c r="G13" i="10"/>
  <c r="G14" i="10" s="1"/>
  <c r="F12" i="10"/>
  <c r="F13" i="10" s="1"/>
  <c r="F14" i="10" s="1"/>
  <c r="D12" i="10"/>
  <c r="D13" i="10" s="1"/>
  <c r="D14" i="10" s="1"/>
  <c r="O9" i="10"/>
  <c r="O10" i="10" s="1"/>
  <c r="O11" i="10" s="1"/>
  <c r="N11" i="10"/>
  <c r="M11" i="10"/>
  <c r="L9" i="10"/>
  <c r="L10" i="10" s="1"/>
  <c r="L11" i="10" s="1"/>
  <c r="K10" i="10"/>
  <c r="K11" i="10" s="1"/>
  <c r="J9" i="10"/>
  <c r="J10" i="10" s="1"/>
  <c r="J11" i="10" s="1"/>
  <c r="I10" i="10"/>
  <c r="I11" i="10" s="1"/>
  <c r="H9" i="10"/>
  <c r="H10" i="10" s="1"/>
  <c r="H11" i="10" s="1"/>
  <c r="G10" i="10"/>
  <c r="G11" i="10" s="1"/>
  <c r="F9" i="10"/>
  <c r="F10" i="10" s="1"/>
  <c r="F11" i="10" s="1"/>
  <c r="D9" i="10"/>
  <c r="D10" i="10" s="1"/>
  <c r="D11" i="10" s="1"/>
  <c r="O6" i="10"/>
  <c r="O7" i="10" s="1"/>
  <c r="O8" i="10" s="1"/>
  <c r="N8" i="10"/>
  <c r="M8" i="10"/>
  <c r="L6" i="10"/>
  <c r="L7" i="10" s="1"/>
  <c r="L8" i="10" s="1"/>
  <c r="K7" i="10"/>
  <c r="K8" i="10" s="1"/>
  <c r="J6" i="10"/>
  <c r="J7" i="10" s="1"/>
  <c r="J8" i="10" s="1"/>
  <c r="I7" i="10"/>
  <c r="I8" i="10" s="1"/>
  <c r="H6" i="10"/>
  <c r="H7" i="10" s="1"/>
  <c r="H8" i="10" s="1"/>
  <c r="G7" i="10"/>
  <c r="G8" i="10" s="1"/>
  <c r="F6" i="10"/>
  <c r="F7" i="10" s="1"/>
  <c r="F8" i="10" s="1"/>
  <c r="D6" i="10"/>
  <c r="D7" i="10" s="1"/>
  <c r="D8" i="10" s="1"/>
  <c r="F25" i="24"/>
  <c r="C159" i="1"/>
  <c r="E159" i="1" s="1"/>
  <c r="C158" i="1"/>
  <c r="E158" i="1" s="1"/>
  <c r="C157" i="1"/>
  <c r="F157" i="1" s="1"/>
  <c r="G157" i="1" s="1"/>
  <c r="H157" i="1" s="1"/>
  <c r="C156" i="1"/>
  <c r="F156" i="1"/>
  <c r="G156" i="1" s="1"/>
  <c r="H156" i="1" s="1"/>
  <c r="C155" i="1"/>
  <c r="C151" i="1"/>
  <c r="C154" i="1" s="1"/>
  <c r="C153" i="1"/>
  <c r="F153" i="1" s="1"/>
  <c r="G153" i="1" s="1"/>
  <c r="H153" i="1" s="1"/>
  <c r="E153" i="1"/>
  <c r="C152" i="1"/>
  <c r="F152" i="1" s="1"/>
  <c r="G152" i="1" s="1"/>
  <c r="H152" i="1" s="1"/>
  <c r="C150" i="1"/>
  <c r="E150" i="1" s="1"/>
  <c r="F150" i="1"/>
  <c r="G150" i="1" s="1"/>
  <c r="H150" i="1" s="1"/>
  <c r="C149" i="1"/>
  <c r="C148" i="1"/>
  <c r="F148" i="1" s="1"/>
  <c r="G148" i="1" s="1"/>
  <c r="H148" i="1" s="1"/>
  <c r="C147" i="1"/>
  <c r="F147" i="1" s="1"/>
  <c r="G147" i="1" s="1"/>
  <c r="H147" i="1" s="1"/>
  <c r="C146" i="1"/>
  <c r="F146" i="1" s="1"/>
  <c r="G146" i="1" s="1"/>
  <c r="H146" i="1" s="1"/>
  <c r="C145" i="1"/>
  <c r="E145" i="1" s="1"/>
  <c r="C119" i="1"/>
  <c r="E119" i="1"/>
  <c r="C131" i="1"/>
  <c r="E131" i="1" s="1"/>
  <c r="C130" i="1"/>
  <c r="F130" i="1" s="1"/>
  <c r="G130" i="1" s="1"/>
  <c r="H130" i="1" s="1"/>
  <c r="C125" i="1"/>
  <c r="C129" i="1" s="1"/>
  <c r="C124" i="1"/>
  <c r="C128" i="1" s="1"/>
  <c r="C123" i="1"/>
  <c r="F123" i="1" s="1"/>
  <c r="G123" i="1" s="1"/>
  <c r="H123" i="1" s="1"/>
  <c r="C127" i="1"/>
  <c r="E127" i="1" s="1"/>
  <c r="C122" i="1"/>
  <c r="E122" i="1" s="1"/>
  <c r="C121" i="1"/>
  <c r="E121" i="1" s="1"/>
  <c r="C120" i="1"/>
  <c r="F120" i="1" s="1"/>
  <c r="G120" i="1" s="1"/>
  <c r="H120" i="1" s="1"/>
  <c r="C118" i="1"/>
  <c r="E118" i="1" s="1"/>
  <c r="F101" i="1"/>
  <c r="I58" i="24"/>
  <c r="I57" i="24"/>
  <c r="G11" i="24"/>
  <c r="J11" i="24" s="1"/>
  <c r="H11" i="24" s="1"/>
  <c r="F31" i="20"/>
  <c r="F22" i="20"/>
  <c r="F21" i="20"/>
  <c r="E32" i="20"/>
  <c r="E24" i="20"/>
  <c r="C30" i="20"/>
  <c r="C20" i="20"/>
  <c r="I52" i="24"/>
  <c r="I51" i="24"/>
  <c r="I46" i="24"/>
  <c r="I45" i="24"/>
  <c r="I40" i="24"/>
  <c r="I39" i="24"/>
  <c r="I34" i="24"/>
  <c r="I33" i="24"/>
  <c r="I32" i="24"/>
  <c r="I31" i="24"/>
  <c r="I30" i="24"/>
  <c r="F23" i="24"/>
  <c r="G83" i="20"/>
  <c r="G82" i="20"/>
  <c r="F81" i="20"/>
  <c r="F72" i="20"/>
  <c r="F71" i="20"/>
  <c r="F70" i="20"/>
  <c r="C21" i="16"/>
  <c r="D21" i="16"/>
  <c r="C11" i="16"/>
  <c r="D11" i="16" s="1"/>
  <c r="E11" i="16" s="1"/>
  <c r="C10" i="16"/>
  <c r="D10" i="16" s="1"/>
  <c r="E10" i="16" s="1"/>
  <c r="C9" i="16"/>
  <c r="D9" i="16"/>
  <c r="E9" i="16" s="1"/>
  <c r="C8" i="16"/>
  <c r="D8" i="16" s="1"/>
  <c r="E8" i="16" s="1"/>
  <c r="B22" i="16"/>
  <c r="C22" i="16" s="1"/>
  <c r="D22" i="16" s="1"/>
  <c r="E22" i="16" s="1"/>
  <c r="D15" i="16"/>
  <c r="C15" i="16"/>
  <c r="B17" i="16"/>
  <c r="C17" i="16" s="1"/>
  <c r="D17" i="16" s="1"/>
  <c r="E17" i="16" s="1"/>
  <c r="B16" i="16"/>
  <c r="C16" i="16" s="1"/>
  <c r="D16" i="16" s="1"/>
  <c r="E16" i="16" s="1"/>
  <c r="D7" i="16"/>
  <c r="E7" i="16"/>
  <c r="F149" i="1"/>
  <c r="G149" i="1" s="1"/>
  <c r="H149" i="1" s="1"/>
  <c r="F121" i="1"/>
  <c r="G121" i="1" s="1"/>
  <c r="H121" i="1" s="1"/>
  <c r="I84" i="1"/>
  <c r="I83" i="1"/>
  <c r="I77" i="1"/>
  <c r="F30" i="13"/>
  <c r="E30" i="13"/>
  <c r="D29" i="13"/>
  <c r="F29" i="13" s="1"/>
  <c r="C29" i="13"/>
  <c r="E29" i="13" s="1"/>
  <c r="D28" i="13"/>
  <c r="F28" i="13" s="1"/>
  <c r="C28" i="13"/>
  <c r="E28" i="13" s="1"/>
  <c r="D26" i="13"/>
  <c r="F26" i="13" s="1"/>
  <c r="D27" i="13"/>
  <c r="F27" i="13" s="1"/>
  <c r="C27" i="13"/>
  <c r="E27" i="13" s="1"/>
  <c r="D25" i="13"/>
  <c r="C25" i="13"/>
  <c r="E25" i="13" s="1"/>
  <c r="D24" i="13"/>
  <c r="F24" i="13" s="1"/>
  <c r="E24" i="13"/>
  <c r="D23" i="13"/>
  <c r="F23" i="13" s="1"/>
  <c r="C26" i="13"/>
  <c r="E26" i="13" s="1"/>
  <c r="F22" i="13"/>
  <c r="H71" i="1"/>
  <c r="H20" i="1"/>
  <c r="F29" i="1" s="1"/>
  <c r="H21" i="1"/>
  <c r="E20" i="1"/>
  <c r="E21" i="1"/>
  <c r="E22" i="1"/>
  <c r="I29" i="1"/>
  <c r="H29" i="1"/>
  <c r="G29" i="1"/>
  <c r="E29" i="1"/>
  <c r="D29" i="1"/>
  <c r="F100" i="1"/>
  <c r="F102" i="1"/>
  <c r="F99" i="1"/>
  <c r="A50" i="13"/>
  <c r="E39" i="13"/>
  <c r="E38" i="13"/>
  <c r="F25" i="13"/>
  <c r="E23" i="13"/>
  <c r="F13" i="13"/>
  <c r="E13" i="13"/>
  <c r="F12" i="13"/>
  <c r="E12" i="13"/>
  <c r="F11" i="13"/>
  <c r="A106" i="1"/>
  <c r="D93" i="1"/>
  <c r="H23" i="1"/>
  <c r="H22" i="1"/>
  <c r="D56" i="1"/>
  <c r="F56" i="1" s="1"/>
  <c r="D55" i="1"/>
  <c r="F55" i="1" s="1"/>
  <c r="D54" i="1"/>
  <c r="F54" i="1" s="1"/>
  <c r="D53" i="1"/>
  <c r="F53" i="1" s="1"/>
  <c r="D47" i="1"/>
  <c r="F47" i="1" s="1"/>
  <c r="D46" i="1"/>
  <c r="F46" i="1" s="1"/>
  <c r="D45" i="1"/>
  <c r="F45" i="1" s="1"/>
  <c r="E23" i="1"/>
  <c r="E19" i="10"/>
  <c r="E16" i="10"/>
  <c r="E13" i="10"/>
  <c r="E11" i="10"/>
  <c r="E157" i="10"/>
  <c r="E154" i="10"/>
  <c r="E151" i="10"/>
  <c r="E148" i="10"/>
  <c r="E145" i="10"/>
  <c r="E142" i="10"/>
  <c r="E139" i="10"/>
  <c r="E136" i="10"/>
  <c r="E133" i="10"/>
  <c r="E130" i="10"/>
  <c r="E127" i="10"/>
  <c r="E124" i="10"/>
  <c r="E121" i="10"/>
  <c r="E118" i="10"/>
  <c r="E115" i="10"/>
  <c r="E112" i="10"/>
  <c r="E109" i="10"/>
  <c r="E106" i="10"/>
  <c r="E103" i="10"/>
  <c r="E100" i="10"/>
  <c r="E97" i="10"/>
  <c r="E94" i="10"/>
  <c r="E91" i="10"/>
  <c r="E85" i="10"/>
  <c r="E82" i="10"/>
  <c r="E79" i="10"/>
  <c r="E76" i="10"/>
  <c r="E73" i="10"/>
  <c r="E70" i="10"/>
  <c r="E67" i="10"/>
  <c r="E64" i="10"/>
  <c r="E61" i="10"/>
  <c r="E58" i="10"/>
  <c r="E55" i="10"/>
  <c r="E52" i="10"/>
  <c r="E49" i="10"/>
  <c r="E46" i="10"/>
  <c r="E43" i="10"/>
  <c r="E37" i="10"/>
  <c r="E34" i="10"/>
  <c r="E31" i="10"/>
  <c r="E28" i="10"/>
  <c r="E25" i="10"/>
  <c r="E22" i="10"/>
  <c r="C158" i="10"/>
  <c r="C155" i="10"/>
  <c r="C152" i="10"/>
  <c r="C149" i="10"/>
  <c r="C146" i="10"/>
  <c r="C143" i="10"/>
  <c r="C140" i="10"/>
  <c r="C137" i="10"/>
  <c r="C134" i="10"/>
  <c r="C131" i="10"/>
  <c r="C128" i="10"/>
  <c r="C125" i="10"/>
  <c r="C122" i="10"/>
  <c r="C119" i="10"/>
  <c r="C116" i="10"/>
  <c r="C113" i="10"/>
  <c r="C110" i="10"/>
  <c r="C107" i="10"/>
  <c r="C104" i="10"/>
  <c r="C101" i="10"/>
  <c r="C98" i="10"/>
  <c r="C95" i="10"/>
  <c r="C92" i="10"/>
  <c r="C89" i="10"/>
  <c r="C86" i="10"/>
  <c r="C83" i="10"/>
  <c r="C80" i="10"/>
  <c r="C77" i="10"/>
  <c r="C74" i="10"/>
  <c r="C68" i="10"/>
  <c r="C65" i="10"/>
  <c r="C62" i="10"/>
  <c r="C59" i="10"/>
  <c r="C56" i="10"/>
  <c r="C53" i="10"/>
  <c r="C50" i="10"/>
  <c r="C47" i="10"/>
  <c r="C44" i="10"/>
  <c r="C41" i="10"/>
  <c r="C38" i="10"/>
  <c r="C35" i="10"/>
  <c r="C32" i="10"/>
  <c r="C29" i="10"/>
  <c r="C26" i="10"/>
  <c r="C22" i="10"/>
  <c r="C19" i="10"/>
  <c r="C16" i="10"/>
  <c r="C13" i="10"/>
  <c r="C11" i="10"/>
  <c r="E7" i="10"/>
  <c r="C7" i="10"/>
  <c r="B52" i="1"/>
  <c r="B61" i="1" s="1"/>
  <c r="H82" i="1"/>
  <c r="H70" i="1"/>
  <c r="G70" i="1"/>
  <c r="H76" i="1"/>
  <c r="H19" i="1"/>
  <c r="H9" i="1"/>
  <c r="I70" i="1"/>
  <c r="E149" i="1"/>
  <c r="E146" i="1"/>
  <c r="E123" i="1"/>
  <c r="E24" i="11"/>
  <c r="E25" i="11"/>
  <c r="E23" i="11"/>
  <c r="F44" i="1"/>
  <c r="E22" i="11"/>
  <c r="A133" i="1"/>
  <c r="F143" i="1"/>
  <c r="F116" i="1"/>
  <c r="I76" i="1"/>
  <c r="I82" i="1"/>
  <c r="D44" i="1"/>
  <c r="B44" i="1"/>
  <c r="E19" i="1"/>
  <c r="D9" i="1"/>
  <c r="G9" i="1"/>
  <c r="E9" i="1"/>
  <c r="H9" i="11"/>
  <c r="F9" i="11"/>
  <c r="D9" i="11"/>
  <c r="B9" i="11"/>
  <c r="B10" i="24"/>
  <c r="B18" i="24" s="1"/>
  <c r="F131" i="1"/>
  <c r="G131" i="1" s="1"/>
  <c r="H131" i="1" s="1"/>
  <c r="E156" i="1"/>
  <c r="E148" i="1"/>
  <c r="E151" i="1"/>
  <c r="F124" i="1"/>
  <c r="G124" i="1" s="1"/>
  <c r="H124" i="1" s="1"/>
  <c r="F151" i="1"/>
  <c r="G151" i="1" s="1"/>
  <c r="H151" i="1" s="1"/>
  <c r="G10" i="24"/>
  <c r="J10" i="24"/>
  <c r="H10" i="24" s="1"/>
  <c r="O56" i="10"/>
  <c r="H65" i="10"/>
  <c r="H125" i="10"/>
  <c r="D36" i="20"/>
  <c r="E124" i="1"/>
  <c r="O47" i="10"/>
  <c r="D17" i="20"/>
  <c r="H74" i="10"/>
  <c r="B22" i="20"/>
  <c r="F125" i="10"/>
  <c r="C36" i="20"/>
  <c r="D19" i="20"/>
  <c r="H80" i="10"/>
  <c r="O80" i="10"/>
  <c r="F137" i="10"/>
  <c r="C38" i="20"/>
  <c r="E38" i="20"/>
  <c r="F149" i="10"/>
  <c r="C39" i="20"/>
  <c r="D62" i="10"/>
  <c r="D92" i="10"/>
  <c r="B23" i="20"/>
  <c r="D104" i="10"/>
  <c r="B27" i="20"/>
  <c r="B30" i="20"/>
  <c r="J131" i="10"/>
  <c r="E37" i="20"/>
  <c r="O131" i="10"/>
  <c r="F39" i="20"/>
  <c r="D125" i="10"/>
  <c r="B36" i="20"/>
  <c r="F38" i="20"/>
  <c r="H68" i="10"/>
  <c r="H50" i="10"/>
  <c r="E14" i="20"/>
  <c r="J65" i="10"/>
  <c r="D47" i="10"/>
  <c r="F122" i="1"/>
  <c r="G122" i="1" s="1"/>
  <c r="H122" i="1" s="1"/>
  <c r="E157" i="1"/>
  <c r="F155" i="1"/>
  <c r="G155" i="1" s="1"/>
  <c r="H155" i="1" s="1"/>
  <c r="E155" i="1"/>
  <c r="C9" i="20"/>
  <c r="F20" i="20"/>
  <c r="H92" i="10"/>
  <c r="D23" i="20"/>
  <c r="H56" i="10"/>
  <c r="C126" i="1"/>
  <c r="F126" i="1" s="1"/>
  <c r="G126" i="1" s="1"/>
  <c r="H126" i="1" s="1"/>
  <c r="O53" i="10"/>
  <c r="O59" i="10"/>
  <c r="O62" i="10"/>
  <c r="E22" i="20"/>
  <c r="J80" i="10"/>
  <c r="E19" i="20"/>
  <c r="O116" i="10"/>
  <c r="F119" i="1"/>
  <c r="G119" i="1" s="1"/>
  <c r="H119" i="1" s="1"/>
  <c r="F145" i="1"/>
  <c r="G145" i="1" s="1"/>
  <c r="H145" i="1" s="1"/>
  <c r="C8" i="20"/>
  <c r="C77" i="20" s="1"/>
  <c r="C10" i="24"/>
  <c r="C18" i="24" s="1"/>
  <c r="F62" i="10"/>
  <c r="D65" i="10"/>
  <c r="F80" i="10"/>
  <c r="E152" i="1"/>
  <c r="E11" i="20"/>
  <c r="E11" i="24"/>
  <c r="H59" i="10"/>
  <c r="L92" i="10"/>
  <c r="F23" i="20"/>
  <c r="F116" i="10"/>
  <c r="C31" i="20"/>
  <c r="F12" i="20"/>
  <c r="L59" i="10"/>
  <c r="O98" i="10"/>
  <c r="O65" i="10"/>
  <c r="O77" i="10"/>
  <c r="O74" i="10"/>
  <c r="F127" i="1"/>
  <c r="G127" i="1" s="1"/>
  <c r="H127" i="1" s="1"/>
  <c r="B9" i="32"/>
  <c r="B17" i="32" s="1"/>
  <c r="C13" i="33"/>
  <c r="I10" i="33"/>
  <c r="H10" i="33"/>
  <c r="C27" i="20"/>
  <c r="G11" i="32"/>
  <c r="I11" i="32"/>
  <c r="G14" i="20"/>
  <c r="H14" i="20" s="1"/>
  <c r="D12" i="33"/>
  <c r="G30" i="20"/>
  <c r="H30" i="20" s="1"/>
  <c r="O113" i="10"/>
  <c r="C22" i="20"/>
  <c r="F89" i="10"/>
  <c r="G11" i="20"/>
  <c r="H11" i="20" s="1"/>
  <c r="G10" i="32"/>
  <c r="I10" i="32" s="1"/>
  <c r="G26" i="20"/>
  <c r="H26" i="20" s="1"/>
  <c r="O101" i="10"/>
  <c r="G8" i="20"/>
  <c r="H8" i="20" s="1"/>
  <c r="G9" i="32"/>
  <c r="I9" i="32" s="1"/>
  <c r="C85" i="13"/>
  <c r="C81" i="13"/>
  <c r="C77" i="13"/>
  <c r="C73" i="13"/>
  <c r="C69" i="13"/>
  <c r="F128" i="1" l="1"/>
  <c r="G128" i="1" s="1"/>
  <c r="H128" i="1" s="1"/>
  <c r="E128" i="1"/>
  <c r="B19" i="20"/>
  <c r="D80" i="10"/>
  <c r="F11" i="32"/>
  <c r="L65" i="10"/>
  <c r="F12" i="24"/>
  <c r="F14" i="20"/>
  <c r="E29" i="20"/>
  <c r="J110" i="10"/>
  <c r="D86" i="10"/>
  <c r="B21" i="20"/>
  <c r="C68" i="13"/>
  <c r="D84" i="13"/>
  <c r="E84" i="13" s="1"/>
  <c r="F84" i="13" s="1"/>
  <c r="G84" i="13" s="1"/>
  <c r="D76" i="13"/>
  <c r="E76" i="13" s="1"/>
  <c r="F76" i="13" s="1"/>
  <c r="G76" i="13" s="1"/>
  <c r="D66" i="13"/>
  <c r="E66" i="13" s="1"/>
  <c r="F66" i="13" s="1"/>
  <c r="G66" i="13" s="1"/>
  <c r="I12" i="33"/>
  <c r="F74" i="10"/>
  <c r="D38" i="20"/>
  <c r="F125" i="1"/>
  <c r="G125" i="1" s="1"/>
  <c r="H125" i="1" s="1"/>
  <c r="E26" i="20"/>
  <c r="B10" i="33"/>
  <c r="B11" i="33" s="1"/>
  <c r="L62" i="10"/>
  <c r="D31" i="20"/>
  <c r="D95" i="10"/>
  <c r="D131" i="10"/>
  <c r="E147" i="1"/>
  <c r="O137" i="10"/>
  <c r="E130" i="1"/>
  <c r="F118" i="1"/>
  <c r="G118" i="1" s="1"/>
  <c r="H118" i="1" s="1"/>
  <c r="D26" i="20"/>
  <c r="E28" i="20"/>
  <c r="F26" i="20"/>
  <c r="D53" i="10"/>
  <c r="D59" i="10"/>
  <c r="O95" i="10"/>
  <c r="C9" i="32"/>
  <c r="C17" i="32" s="1"/>
  <c r="C11" i="32"/>
  <c r="L131" i="10"/>
  <c r="E120" i="1"/>
  <c r="E125" i="1"/>
  <c r="E21" i="20"/>
  <c r="D13" i="33"/>
  <c r="D71" i="10"/>
  <c r="L71" i="10"/>
  <c r="D119" i="10"/>
  <c r="D149" i="10"/>
  <c r="F159" i="1"/>
  <c r="G159" i="1" s="1"/>
  <c r="H159" i="1" s="1"/>
  <c r="E20" i="20"/>
  <c r="F28" i="20"/>
  <c r="D10" i="24"/>
  <c r="D18" i="24" s="1"/>
  <c r="E35" i="11"/>
  <c r="F35" i="11" s="1"/>
  <c r="C70" i="13"/>
  <c r="B11" i="20"/>
  <c r="B12" i="33"/>
  <c r="B10" i="32"/>
  <c r="D56" i="10"/>
  <c r="B11" i="24"/>
  <c r="B28" i="20"/>
  <c r="D107" i="10"/>
  <c r="B25" i="20"/>
  <c r="D98" i="10"/>
  <c r="L104" i="10"/>
  <c r="F27" i="20"/>
  <c r="C79" i="13"/>
  <c r="E126" i="1"/>
  <c r="C78" i="13"/>
  <c r="C76" i="20"/>
  <c r="C71" i="13"/>
  <c r="D110" i="10"/>
  <c r="B29" i="20"/>
  <c r="G9" i="20"/>
  <c r="H9" i="20" s="1"/>
  <c r="O50" i="10"/>
  <c r="B17" i="20"/>
  <c r="D74" i="10"/>
  <c r="F15" i="20"/>
  <c r="L68" i="10"/>
  <c r="F13" i="33"/>
  <c r="C37" i="20"/>
  <c r="F131" i="10"/>
  <c r="F10" i="32"/>
  <c r="F12" i="33"/>
  <c r="F11" i="20"/>
  <c r="F11" i="24"/>
  <c r="L56" i="10"/>
  <c r="L50" i="10"/>
  <c r="F9" i="20"/>
  <c r="B13" i="33"/>
  <c r="D68" i="10"/>
  <c r="D16" i="20"/>
  <c r="H71" i="10"/>
  <c r="H107" i="10"/>
  <c r="D28" i="20"/>
  <c r="D13" i="20"/>
  <c r="H62" i="10"/>
  <c r="E16" i="20"/>
  <c r="J71" i="10"/>
  <c r="H77" i="10"/>
  <c r="D18" i="20"/>
  <c r="F101" i="10"/>
  <c r="C26" i="20"/>
  <c r="F107" i="10"/>
  <c r="C28" i="20"/>
  <c r="F56" i="10"/>
  <c r="C11" i="20"/>
  <c r="C10" i="32"/>
  <c r="C11" i="24"/>
  <c r="J47" i="10"/>
  <c r="E8" i="20"/>
  <c r="E76" i="20" s="1"/>
  <c r="E10" i="24"/>
  <c r="E18" i="24" s="1"/>
  <c r="C29" i="1"/>
  <c r="D101" i="10"/>
  <c r="B26" i="20"/>
  <c r="C10" i="20"/>
  <c r="F53" i="10"/>
  <c r="L47" i="10"/>
  <c r="F8" i="20"/>
  <c r="F77" i="20" s="1"/>
  <c r="F10" i="33"/>
  <c r="F11" i="33" s="1"/>
  <c r="F9" i="32"/>
  <c r="F17" i="32" s="1"/>
  <c r="F10" i="24"/>
  <c r="F18" i="24" s="1"/>
  <c r="G39" i="20"/>
  <c r="H39" i="20" s="1"/>
  <c r="O149" i="10"/>
  <c r="E9" i="20"/>
  <c r="J50" i="10"/>
  <c r="J116" i="10"/>
  <c r="E31" i="20"/>
  <c r="L125" i="10"/>
  <c r="F36" i="20"/>
  <c r="D27" i="20"/>
  <c r="F32" i="20"/>
  <c r="D20" i="20"/>
  <c r="E12" i="33"/>
  <c r="J56" i="10"/>
  <c r="E9" i="32"/>
  <c r="E17" i="32" s="1"/>
  <c r="E10" i="33"/>
  <c r="E11" i="33" s="1"/>
  <c r="G29" i="20"/>
  <c r="H29" i="20" s="1"/>
  <c r="O110" i="10"/>
  <c r="G23" i="20"/>
  <c r="H23" i="20" s="1"/>
  <c r="O92" i="10"/>
  <c r="B20" i="20"/>
  <c r="E36" i="20"/>
  <c r="F68" i="10"/>
  <c r="D77" i="20"/>
  <c r="C16" i="20"/>
  <c r="J59" i="10"/>
  <c r="D37" i="20"/>
  <c r="H149" i="10"/>
  <c r="C12" i="33"/>
  <c r="B77" i="20"/>
  <c r="D77" i="10"/>
  <c r="D50" i="10"/>
  <c r="E13" i="20"/>
  <c r="C23" i="20"/>
  <c r="D24" i="20"/>
  <c r="E23" i="20"/>
  <c r="F24" i="20"/>
  <c r="F29" i="20"/>
  <c r="B12" i="24"/>
  <c r="D9" i="32"/>
  <c r="D17" i="32" s="1"/>
  <c r="B28" i="16"/>
  <c r="E28" i="16" s="1"/>
  <c r="F9" i="16"/>
  <c r="F129" i="1"/>
  <c r="G129" i="1" s="1"/>
  <c r="H129" i="1" s="1"/>
  <c r="E129" i="1"/>
  <c r="J74" i="10"/>
  <c r="E17" i="20"/>
  <c r="E25" i="20"/>
  <c r="J98" i="10"/>
  <c r="J104" i="10"/>
  <c r="E27" i="20"/>
  <c r="F119" i="10"/>
  <c r="C32" i="20"/>
  <c r="F10" i="20"/>
  <c r="L53" i="10"/>
  <c r="F77" i="10"/>
  <c r="C18" i="20"/>
  <c r="F95" i="10"/>
  <c r="C24" i="20"/>
  <c r="H98" i="10"/>
  <c r="D25" i="20"/>
  <c r="H110" i="10"/>
  <c r="D29" i="20"/>
  <c r="F10" i="16"/>
  <c r="B29" i="16"/>
  <c r="E29" i="16" s="1"/>
  <c r="E154" i="1"/>
  <c r="F154" i="1"/>
  <c r="G154" i="1" s="1"/>
  <c r="H154" i="1" s="1"/>
  <c r="J53" i="10"/>
  <c r="E10" i="20"/>
  <c r="E18" i="20"/>
  <c r="J77" i="10"/>
  <c r="H86" i="10"/>
  <c r="D21" i="20"/>
  <c r="E30" i="20"/>
  <c r="J113" i="10"/>
  <c r="F8" i="16"/>
  <c r="B27" i="16"/>
  <c r="E27" i="16" s="1"/>
  <c r="B30" i="16"/>
  <c r="E30" i="16" s="1"/>
  <c r="F11" i="16"/>
  <c r="H53" i="10"/>
  <c r="D10" i="20"/>
  <c r="H113" i="10"/>
  <c r="D30" i="20"/>
  <c r="D32" i="20"/>
  <c r="H119" i="10"/>
  <c r="G36" i="20"/>
  <c r="H36" i="20" s="1"/>
  <c r="O125" i="10"/>
  <c r="D10" i="33"/>
  <c r="D11" i="33" s="1"/>
  <c r="D10" i="32"/>
  <c r="L80" i="10"/>
  <c r="H47" i="10"/>
  <c r="D11" i="20"/>
  <c r="F59" i="10"/>
  <c r="B31" i="20"/>
  <c r="L77" i="10"/>
  <c r="L74" i="10"/>
  <c r="I10" i="24"/>
  <c r="G12" i="24"/>
  <c r="J12" i="24" s="1"/>
  <c r="C116" i="1"/>
  <c r="F158" i="1"/>
  <c r="G158" i="1" s="1"/>
  <c r="H158" i="1" s="1"/>
  <c r="C29" i="20"/>
  <c r="B11" i="32"/>
  <c r="B14" i="20"/>
  <c r="B15" i="20"/>
  <c r="H89" i="10"/>
  <c r="E39" i="20"/>
  <c r="D12" i="24"/>
  <c r="C12" i="24"/>
  <c r="C25" i="20"/>
  <c r="F25" i="20"/>
  <c r="G32" i="20"/>
  <c r="H32" i="20" s="1"/>
  <c r="O119" i="10"/>
  <c r="G28" i="20"/>
  <c r="H28" i="20" s="1"/>
  <c r="O107" i="10"/>
  <c r="E15" i="20"/>
  <c r="B38" i="20"/>
  <c r="E12" i="24"/>
  <c r="J68" i="10"/>
  <c r="D14" i="20"/>
  <c r="I11" i="24"/>
  <c r="I71" i="1"/>
  <c r="C21" i="20"/>
  <c r="F30" i="20"/>
  <c r="G16" i="20"/>
  <c r="H16" i="20" s="1"/>
  <c r="O71" i="10"/>
  <c r="G27" i="20"/>
  <c r="H27" i="20" s="1"/>
  <c r="O104" i="10"/>
  <c r="G13" i="33"/>
  <c r="J13" i="33" s="1"/>
  <c r="G15" i="20"/>
  <c r="H15" i="20" s="1"/>
  <c r="G35" i="11"/>
  <c r="H35" i="11" s="1"/>
  <c r="F76" i="20" l="1"/>
  <c r="E77" i="20"/>
  <c r="H12" i="24"/>
  <c r="I12" i="24"/>
  <c r="D30" i="16"/>
  <c r="C30" i="16"/>
  <c r="D27" i="16"/>
  <c r="C27" i="16"/>
  <c r="D29" i="16"/>
  <c r="C29" i="16"/>
  <c r="H13" i="33"/>
  <c r="I13" i="33"/>
  <c r="D28" i="16"/>
  <c r="C28" i="16"/>
</calcChain>
</file>

<file path=xl/sharedStrings.xml><?xml version="1.0" encoding="utf-8"?>
<sst xmlns="http://schemas.openxmlformats.org/spreadsheetml/2006/main" count="1220" uniqueCount="540">
  <si>
    <t>Basisløntrin</t>
  </si>
  <si>
    <t>0 år</t>
  </si>
  <si>
    <t>8 år</t>
  </si>
  <si>
    <t>12 år</t>
  </si>
  <si>
    <t>Lærere</t>
  </si>
  <si>
    <t>Børnehaveklasseledere</t>
  </si>
  <si>
    <t>Lærere og børnehaveklasseledere</t>
  </si>
  <si>
    <t>sats III</t>
  </si>
  <si>
    <t>sats IV</t>
  </si>
  <si>
    <t>sats VI</t>
  </si>
  <si>
    <t>sats V</t>
  </si>
  <si>
    <t>Undervisningstillæg beregnes pr. undervisningstime</t>
  </si>
  <si>
    <t>Årligt timetal</t>
  </si>
  <si>
    <t>Undervisningstillæg</t>
  </si>
  <si>
    <t>Kr. pr. skemalagt undervisningstime á 60 minutter</t>
  </si>
  <si>
    <t>Månedsløn</t>
  </si>
  <si>
    <t xml:space="preserve"> </t>
  </si>
  <si>
    <t>- tredelt tjeneste (pr. dag)</t>
  </si>
  <si>
    <t>- for delt tjeneste ud over 11 timer (pr. time)</t>
  </si>
  <si>
    <t>Løntabel for</t>
  </si>
  <si>
    <t>Pensionsgivende løn</t>
  </si>
  <si>
    <t>1/3 egetbidrag</t>
  </si>
  <si>
    <t>I alt</t>
  </si>
  <si>
    <t>Pensionsgivende løn, grundbeløb</t>
  </si>
  <si>
    <t>Pensionsgivende løn pr.</t>
  </si>
  <si>
    <t>Generelle satser:</t>
  </si>
  <si>
    <t>Reguleringsfaktor</t>
  </si>
  <si>
    <t>Dato</t>
  </si>
  <si>
    <t>%</t>
  </si>
  <si>
    <t>Gældende sats pr.</t>
  </si>
  <si>
    <t>Historiske satser</t>
  </si>
  <si>
    <t xml:space="preserve">Løntabellen er gældende fra </t>
  </si>
  <si>
    <t>Reguleringsfaktoren blev nulstillet 31.03.2012, hvorefter der blev beregnet nye grundbeløb</t>
  </si>
  <si>
    <t xml:space="preserve">denne faktor gælder frem til </t>
  </si>
  <si>
    <t>27/37 og derover</t>
  </si>
  <si>
    <t>Lønmodtager</t>
  </si>
  <si>
    <t>Arbejdsgiver</t>
  </si>
  <si>
    <t>Beskæftigelsesgrad pr. uge</t>
  </si>
  <si>
    <t>Antal år</t>
  </si>
  <si>
    <t>25 år</t>
  </si>
  <si>
    <t>40 år</t>
  </si>
  <si>
    <t>50 år</t>
  </si>
  <si>
    <t>Pr.</t>
  </si>
  <si>
    <t>000-649,99</t>
  </si>
  <si>
    <t>650-699,99</t>
  </si>
  <si>
    <t>700-749,99</t>
  </si>
  <si>
    <t>750-</t>
  </si>
  <si>
    <t>000-749,99</t>
  </si>
  <si>
    <t>750-799.99</t>
  </si>
  <si>
    <t>800-834,99</t>
  </si>
  <si>
    <t>835-</t>
  </si>
  <si>
    <t>4 år</t>
  </si>
  <si>
    <t>II</t>
  </si>
  <si>
    <t>III</t>
  </si>
  <si>
    <t>IV</t>
  </si>
  <si>
    <t>V</t>
  </si>
  <si>
    <t>VI</t>
  </si>
  <si>
    <t>Skalatrin</t>
  </si>
  <si>
    <t>Udbetaling pr. dag med fuldt fradrag</t>
  </si>
  <si>
    <t>Transportgodtgørelse - satser</t>
  </si>
  <si>
    <t>Særlig bemyndigelse, kørsel med bil *</t>
  </si>
  <si>
    <t>Praktikaflønning - satser</t>
  </si>
  <si>
    <t>Praktiktime á 45 min.</t>
  </si>
  <si>
    <t>Honorar - aleneperiode</t>
  </si>
  <si>
    <t>Dagpengesatser</t>
  </si>
  <si>
    <t>Dagpengesats fuldtidsforsikrede</t>
  </si>
  <si>
    <t>Dagpengesats deltidsforsikrede</t>
  </si>
  <si>
    <t>kr.</t>
  </si>
  <si>
    <t>Gruppeliv</t>
  </si>
  <si>
    <t>Månedligt tillæg for alle lærere, bh.kl. ledere og skoleledere</t>
  </si>
  <si>
    <t>Timelønnede vikarer</t>
  </si>
  <si>
    <t>Uddannede lærere og bh.kl. ledere</t>
  </si>
  <si>
    <t>Undervisningsopgaver kr. pr. time</t>
  </si>
  <si>
    <t>Andre vikarer</t>
  </si>
  <si>
    <t>Ikke undervisningsopg. kr. pr. time</t>
  </si>
  <si>
    <t>Stedtillægsområder:</t>
  </si>
  <si>
    <t>Sats II</t>
  </si>
  <si>
    <t>Sats III</t>
  </si>
  <si>
    <t>Sats IV</t>
  </si>
  <si>
    <t>Sats V</t>
  </si>
  <si>
    <t>Sats VI</t>
  </si>
  <si>
    <t>Køge, Lejre, Roskilde, Solrød, Århus.</t>
  </si>
  <si>
    <t>Allerød, Fredensborg, Frederikssund, Frederiksværk-Hundested, Gribskov, Helsingør, Hillerød, Hørsholm.</t>
  </si>
  <si>
    <t xml:space="preserve">Løntabeller </t>
  </si>
  <si>
    <t xml:space="preserve">Deutsche Schul- und Sprachverein </t>
  </si>
  <si>
    <t>Dansk Friskoleforening</t>
  </si>
  <si>
    <t>Foreningen af Kristne Friskoler</t>
  </si>
  <si>
    <t>pr. år</t>
  </si>
  <si>
    <t>pr. måned</t>
  </si>
  <si>
    <t>Lærernes pension</t>
  </si>
  <si>
    <t>P25/Efterlønskassen</t>
  </si>
  <si>
    <t>Pensionsbidrag for børnehaveklasseledere pr.</t>
  </si>
  <si>
    <t>Pensionsbidrag for lærere pr.</t>
  </si>
  <si>
    <t>Kr.</t>
  </si>
  <si>
    <t>Pensionsbidrag</t>
  </si>
  <si>
    <t>Anciennitet</t>
  </si>
  <si>
    <t>Pensions-    bidrag</t>
  </si>
  <si>
    <t>År</t>
  </si>
  <si>
    <t xml:space="preserve">Måned </t>
  </si>
  <si>
    <t>Grundbeløb</t>
  </si>
  <si>
    <t xml:space="preserve">Grundbeløb </t>
  </si>
  <si>
    <t>Grundbeløb årligt</t>
  </si>
  <si>
    <t>Grundbeløb pr. mdr.</t>
  </si>
  <si>
    <t>Basis-         løntrin</t>
  </si>
  <si>
    <t>Beløb pr.</t>
  </si>
  <si>
    <t>Basis-            løntrin</t>
  </si>
  <si>
    <t xml:space="preserve">Mindre end 27/37 men mindst 18/37  </t>
  </si>
  <si>
    <t xml:space="preserve">Mindre end 18/37 men mindst 9/37    </t>
  </si>
  <si>
    <t xml:space="preserve">Under 9/37   </t>
  </si>
  <si>
    <t>Ledere ved frie grundskoler</t>
  </si>
  <si>
    <t>Basis II 31/03/12</t>
  </si>
  <si>
    <t>Basis III 31/03/12</t>
  </si>
  <si>
    <t>Basis IV 31/03/12</t>
  </si>
  <si>
    <t>Basis V 31/03/12</t>
  </si>
  <si>
    <t>Basis VI 31/03/12</t>
  </si>
  <si>
    <t>Pensg.løn 31/03/12</t>
  </si>
  <si>
    <t>Pens.giv. løn</t>
  </si>
  <si>
    <t>Antal elever</t>
  </si>
  <si>
    <t>000-99</t>
  </si>
  <si>
    <t>100-349</t>
  </si>
  <si>
    <t>350 -</t>
  </si>
  <si>
    <t>Antal kostelever</t>
  </si>
  <si>
    <t>0-99</t>
  </si>
  <si>
    <t>0-24</t>
  </si>
  <si>
    <t>00-99</t>
  </si>
  <si>
    <t>25-59</t>
  </si>
  <si>
    <t>60 -</t>
  </si>
  <si>
    <t>For ansatte omfattet af en tjenestemandslignende pensionsordning udgør pensionstilsvaret 15% af den pensionsgivende løn på det skalatrin, hvor skalatrinslønnen er lig med eller nærmest under den aftalte løn.</t>
  </si>
  <si>
    <t>Eksempel 1:</t>
  </si>
  <si>
    <t>Eksempel 2:</t>
  </si>
  <si>
    <t>Generelle satser</t>
  </si>
  <si>
    <t>Forhøjelse af top/bund</t>
  </si>
  <si>
    <t>Der tages forbehold for eventuelle fejl</t>
  </si>
  <si>
    <t>Grundbeløb pr. år</t>
  </si>
  <si>
    <t>Pensionsbidrag for skoleledere, viceskoleinspektører, afdelingsinspektører, viceafdelingsinspektører og afdelingsledere</t>
  </si>
  <si>
    <t>Almindelig godkendt kørsel med bil</t>
  </si>
  <si>
    <t>Danmark</t>
  </si>
  <si>
    <t>Udlandet</t>
  </si>
  <si>
    <t>Ureduceret sats</t>
  </si>
  <si>
    <t>Skalatrin for skygge-forløb</t>
  </si>
  <si>
    <t>Esbjerg, Frederikshavn, Faaborg-Midtfyn, Kalundborg, Kerteminde, Nyborg, Næstved, Odense, Skanderborg, Slagelse, Sønderborg, Aalborg.</t>
  </si>
  <si>
    <t>Grundløntrin</t>
  </si>
  <si>
    <t>Timeløn</t>
  </si>
  <si>
    <t>reguleret</t>
  </si>
  <si>
    <t>0-4 år</t>
  </si>
  <si>
    <t>&gt; 9 år</t>
  </si>
  <si>
    <t>1. års elev</t>
  </si>
  <si>
    <t>2. års elev</t>
  </si>
  <si>
    <t>Grundbeløbet er pr. 1 april 2013 forhøjet med 0,26%. Denne forhøjelse er sket som en forhøjelse af grundbeløbet i niveau 31. marts 2012.</t>
  </si>
  <si>
    <t>Ved forhøjelsen er det tidligere grundbeløb forhøjet med 0,26% og efterfølgende afrundet til nærmeste hele 10 kr., hvorved det nye grundbeløb er fremkommet.</t>
  </si>
  <si>
    <t>Timelønnen udregnes som 1/1672 af en årsløn på det pågældende grundtrin - dette jf. OK § 10.  Dette afviger fra praksis på øvrige områder, hvor der regnes med 1/1924.</t>
  </si>
  <si>
    <t>Sekretærer, IT-medarbejdere og andre administrative medarbejdere, der har tilsluttet sig Landsoverenskomst 2013-2015 mellem Lilleskolerne og HK/Privat</t>
  </si>
  <si>
    <t>5-8 år</t>
  </si>
  <si>
    <t>&gt; 12 år</t>
  </si>
  <si>
    <t xml:space="preserve">Basisløn for sekretærer, IT-medarbejdere og andre adm. Medarbejdere </t>
  </si>
  <si>
    <t>Aflønning af elever (under 25 år)</t>
  </si>
  <si>
    <t>Aflønning af elever (over 25 år)</t>
  </si>
  <si>
    <t>Månedligt tillæg for sekretærer, IT-medarbejdere og andre administrative medarbejdere under Landsoverenskomst mellem Lilleskolerne og HK/Privat</t>
  </si>
  <si>
    <t>PensionDanmark (eller andet godkendt selskab)</t>
  </si>
  <si>
    <t>Gruppelivspræmie øvrige ansatte (Aftale nr. 26001) - sats gældende fra 01/01/2015</t>
  </si>
  <si>
    <t>Timelønnede pædagoger</t>
  </si>
  <si>
    <t>Ikke uddannede pædagoger</t>
  </si>
  <si>
    <t>Uddannede pædagoger</t>
  </si>
  <si>
    <t>Alder</t>
  </si>
  <si>
    <t>16-årige</t>
  </si>
  <si>
    <t>17-årige</t>
  </si>
  <si>
    <t>Praktikstuderende</t>
  </si>
  <si>
    <t>Pr. måned</t>
  </si>
  <si>
    <t>Pr. arbejdstime - 60 minutter</t>
  </si>
  <si>
    <t>Tillæg</t>
  </si>
  <si>
    <t>Godtgørelse for tjeneste på søn- og helligdage</t>
  </si>
  <si>
    <t>pr. time</t>
  </si>
  <si>
    <t>pr. dag</t>
  </si>
  <si>
    <t>Pædagogisk personale</t>
  </si>
  <si>
    <t>Pensionsbidrag pr. måned</t>
  </si>
  <si>
    <t>20+t</t>
  </si>
  <si>
    <t xml:space="preserve">Timelønnede: </t>
  </si>
  <si>
    <t xml:space="preserve">Pr. arbejdstime </t>
  </si>
  <si>
    <t>Arbedstidsbestemte tillæg</t>
  </si>
  <si>
    <t>Natpenge for tjeneste i tiden 17 - 06</t>
  </si>
  <si>
    <t>Godtgørelse for tjeneste lørdage efter kl. 14</t>
  </si>
  <si>
    <t>Godtgørelse for tjeneste mandage kl. 00-04 samt hverdage efter skæve helligdage</t>
  </si>
  <si>
    <t>Hovedrengøringstillæg</t>
  </si>
  <si>
    <t>Alm. Hovedrengøring + afsluttende rengøring efter håndværkere</t>
  </si>
  <si>
    <t>Arbejdstøjstillæg</t>
  </si>
  <si>
    <t>Funktionstillæg (pensionsgivende)</t>
  </si>
  <si>
    <t>Evt. funktionstillæg</t>
  </si>
  <si>
    <r>
      <t xml:space="preserve">Der kan aftales tillæg for særlige funktioner. For funktionen som Køkkenleder og serviceleder </t>
    </r>
    <r>
      <rPr>
        <b/>
        <sz val="11"/>
        <color theme="1"/>
        <rFont val="Arial"/>
        <family val="2"/>
      </rPr>
      <t>SKAL</t>
    </r>
    <r>
      <rPr>
        <sz val="11"/>
        <color theme="1"/>
        <rFont val="Arial"/>
        <family val="2"/>
      </rPr>
      <t xml:space="preserve"> der aftale funktionstillæg</t>
    </r>
  </si>
  <si>
    <t>Årligt</t>
  </si>
  <si>
    <t>Til alle på trin 20 ydes tillæg</t>
  </si>
  <si>
    <t>Dispositionstillæg</t>
  </si>
  <si>
    <t xml:space="preserve">Pensions-givende løn </t>
  </si>
  <si>
    <t>Månedligt tillæg for øvrige ansatte (omfatter ikke pædagogisk personale med pension i PBU og Pension Danmark)</t>
  </si>
  <si>
    <t>Eget-          bidrag</t>
  </si>
  <si>
    <t xml:space="preserve">Arbejds-         giverbidrag </t>
  </si>
  <si>
    <t>Historiske satser - reguleringsprocent</t>
  </si>
  <si>
    <t>Rengøringsassistenter, køkkenmedarbejdere, chauffører, tekniske servicemedarbejdere og tekniske serviceledere</t>
  </si>
  <si>
    <t>Tillægget ydes i form af frit arbejdstøj el årligt tillæg på min:</t>
  </si>
  <si>
    <t>Timelønnede</t>
  </si>
  <si>
    <t>afløsere</t>
  </si>
  <si>
    <t>15 årige</t>
  </si>
  <si>
    <t>16 årige</t>
  </si>
  <si>
    <t>17 årige</t>
  </si>
  <si>
    <t>Unge under 18 år</t>
  </si>
  <si>
    <t>Mindste timeløn for</t>
  </si>
  <si>
    <t>Administrativt personale</t>
  </si>
  <si>
    <t>Rengøringspersonale</t>
  </si>
  <si>
    <t>Tillæg for arbejde lørdage, søndage og helligdage</t>
  </si>
  <si>
    <t>Tillæg for ungarbejdere for arbejde kl. 17-07</t>
  </si>
  <si>
    <t>Tillæg for arbejde mellem kl. 17-24</t>
  </si>
  <si>
    <t>Tillæg for arbejde mellem kl. 24-06</t>
  </si>
  <si>
    <t>Heraf anses 1/3 som medarbejderens eget bidrag og 2/3 som arbejdsgiverbidrag. Arbejdsgiver betaler det fulde pensionsbidrag.</t>
  </si>
  <si>
    <t>Funktionstillæg - administrativt personale</t>
  </si>
  <si>
    <t>Funktion</t>
  </si>
  <si>
    <t>Elevadministration</t>
  </si>
  <si>
    <t>Ansøgning af tilskud</t>
  </si>
  <si>
    <t>Regnskab/budget</t>
  </si>
  <si>
    <t>Løn- og personaleadministration</t>
  </si>
  <si>
    <t>Personaleledelse</t>
  </si>
  <si>
    <t>Lidt</t>
  </si>
  <si>
    <t>Meget</t>
  </si>
  <si>
    <t>Noget</t>
  </si>
  <si>
    <t>Funktionstillæg - teknisk servicepersonale</t>
  </si>
  <si>
    <t>Budget</t>
  </si>
  <si>
    <t>Håndværksfaglig</t>
  </si>
  <si>
    <t>Alarm</t>
  </si>
  <si>
    <t>Projektledelse</t>
  </si>
  <si>
    <t>Mindsteløn for</t>
  </si>
  <si>
    <t>Teknisk servicepersonale</t>
  </si>
  <si>
    <t>Godtgørelse for tjeneste i tidsrummet kl. 17-06</t>
  </si>
  <si>
    <t>Rengøringsarbejdere, teknisk servicepersonale, chauffører og administrativt personale</t>
  </si>
  <si>
    <t>gældende for perioden 1. april 2015- 31. marts 2016</t>
  </si>
  <si>
    <t>Ledelses- og koordineringsopgaver pr. praktiktime og pr. uv-time for hver deltagende lærerstuderende</t>
  </si>
  <si>
    <t>Time</t>
  </si>
  <si>
    <t>Funktionstillæg</t>
  </si>
  <si>
    <t xml:space="preserve">Gruppelivspræmie (Aftale FG nr. 85034)    </t>
  </si>
  <si>
    <t>Gruppelivspræmie øvrige ansatte (Aftale FG nr. 26001)</t>
  </si>
  <si>
    <t xml:space="preserve">Ved afskedigelse betales G-dage efter ovennævnte satser. </t>
  </si>
  <si>
    <t>Til alle på trin 14 ydes tillæg</t>
  </si>
  <si>
    <t>14+t</t>
  </si>
  <si>
    <t>Måned</t>
  </si>
  <si>
    <t>Pensions-bidrag</t>
  </si>
  <si>
    <t>2/3 arb.giver-bidrag</t>
  </si>
  <si>
    <t>Time-interval</t>
  </si>
  <si>
    <t xml:space="preserve">Pens.giv. løn </t>
  </si>
  <si>
    <t>DENNE LØNTABEL GÆLDER ALENE FOR ANSATTE UNDER OK MELLEM KRIFA OG FORENINGEN AF KRISTNE FRISKOLER</t>
  </si>
  <si>
    <t>Samlet lønregulering</t>
  </si>
  <si>
    <t>Procent</t>
  </si>
  <si>
    <r>
      <rPr>
        <b/>
        <sz val="11"/>
        <rFont val="Arial"/>
        <family val="2"/>
      </rPr>
      <t>Pension</t>
    </r>
    <r>
      <rPr>
        <sz val="11"/>
        <rFont val="Arial"/>
        <family val="2"/>
      </rPr>
      <t>: beregnes af bruttoindkomst og det samlede pensionsbidrag udgør for hele overenskomstperioden: 17,3%</t>
    </r>
  </si>
  <si>
    <t>Godtgørelse for tjenestehverdage efter søgnehellligdage kl. 00-06</t>
  </si>
  <si>
    <t>Assens, Billund, Bornholm, Brønderslev-Dronninglund, Fanø, Favrskov, Faxe, Fredericia, Guldborgsund, Haderslev, Hedensted, Herning, Hjørring, Holbæk, Holstebro, Horsens, Ikast-Brande, Jammerbugt, Kolding, Langeland, Lemvig, Lolland, Læsø, Mariagerfjord, Middelfart, Morsø, Norddjurs, Nordfyn, Odder, Odsherred, Randers, Rebild, Ringkøbing-Skjern, Ringsted, Samsø, Silkeborg, Skive, Sorø, Stevns, Struer, Svendborg, Syddjurs, Thisted, Tønder, Varde, Vejen, Vejle, Vesthimmerland, Viborg, Vordingborg, Ærø, Aabenraa.</t>
  </si>
  <si>
    <t>DENNE LØNTABEL GÆLDER ALENE ANSATTE OK MELLEM                                                                                                      3F og følgende skoleforeninger: Lilleskolerne samt Deutsche Schul- und sprachverein</t>
  </si>
  <si>
    <t>Tillæggene på trin 14 og 20 er pensionsgivende</t>
  </si>
  <si>
    <t>Vejledende beregning af undervisningstillæg til lærere og bh.kl. Ledere</t>
  </si>
  <si>
    <t>Se oversigt over de forskellige områder under fanen: generelle satser</t>
  </si>
  <si>
    <t>Supplerende pension:</t>
  </si>
  <si>
    <t>Opmærksomheden henledes på ansatte med ret til tjenestemandspension.</t>
  </si>
  <si>
    <t>Som supplement til den tjenestemandslignende pensionsordning kan det aftales, at forskellen mellem den pensionsgivende løn og den aftalte intervalløn hel eller delvist gøres pensionsgivende. Af denne del indbetales 17,3% som pensionsbidrag til Lærernes Pension. Såfremt den aftalte intervalløn overstiger den maksimale pensionsgivende løn på slutskalatrin incl. 2 ekstra trin, indbetales der for denne del 18,00% som pensionsbidrag til Lærernes Pension.</t>
  </si>
  <si>
    <t>Ordninger under 30 børn:</t>
  </si>
  <si>
    <t>Uddannede pædagoer</t>
  </si>
  <si>
    <t>Anderledes pæd. Uddannede(Lukket gruppe)</t>
  </si>
  <si>
    <t>Ikke pædagoguddannede</t>
  </si>
  <si>
    <t>Ikke pædagoguddannede med PGU eller PAU</t>
  </si>
  <si>
    <t>27, 29, 31, 33, 36</t>
  </si>
  <si>
    <t>20, 23, 25, 27, 29, 31, 33, 36</t>
  </si>
  <si>
    <t>14, 15, 16, 17, 19</t>
  </si>
  <si>
    <t>20, 21, 24, 25, 27</t>
  </si>
  <si>
    <t>Pædagoguddannede</t>
  </si>
  <si>
    <t>Plus 2 trin</t>
  </si>
  <si>
    <t>Plus 6 trin</t>
  </si>
  <si>
    <t>Antal ekstra skalatrin i forhold til ordninger med daglig leder</t>
  </si>
  <si>
    <t>Læ1/Bh1</t>
  </si>
  <si>
    <t>Læ2/bh2</t>
  </si>
  <si>
    <t>Læ3/bh3</t>
  </si>
  <si>
    <t>Læ4/bh4</t>
  </si>
  <si>
    <t>Basisløn</t>
  </si>
  <si>
    <t>x</t>
  </si>
  <si>
    <t xml:space="preserve">OK08-tillæg </t>
  </si>
  <si>
    <t>OK13-tillæg</t>
  </si>
  <si>
    <t>Reguleret</t>
  </si>
  <si>
    <t>Funktionstillæg - skolens decentrale løn</t>
  </si>
  <si>
    <t>Ja</t>
  </si>
  <si>
    <t>Nej</t>
  </si>
  <si>
    <t>Kvalifikationstillæg - skolens decentrale løn</t>
  </si>
  <si>
    <t>Evt.</t>
  </si>
  <si>
    <t>Se satser mm i arket "lærere og bh.kl.ledere"</t>
  </si>
  <si>
    <t>Lærernes forskellige faste løndele."</t>
  </si>
  <si>
    <t>Soucheftillæg - funtktionstillæg til skolens souchef</t>
  </si>
  <si>
    <t>Oversigt over løn til lærere og børnehaveklasseledere</t>
  </si>
  <si>
    <t xml:space="preserve">Ansatte med ret til tjenestemandspension, skal dog have supplerende pension i Lærernes Pension på 18% for lønddele, der overstiger slutskalatrin incl. 2 ekstra trin. For lærere: Skalatrin 42, for bhkl.ledere: trin 33. </t>
  </si>
  <si>
    <t>Lønforløb for pædagogisk personale</t>
  </si>
  <si>
    <t>(0-4 års lønanciennitet)</t>
  </si>
  <si>
    <t>(4-8 års lønanciennitet)</t>
  </si>
  <si>
    <t>(8-12 års lønanciennitet)</t>
  </si>
  <si>
    <t>(Mere end 12 års lønanciennitet)</t>
  </si>
  <si>
    <t>Beløb pr. mdr.</t>
  </si>
  <si>
    <t>Supplerende oplysninger til fanen "BUPL"</t>
  </si>
  <si>
    <t>Supplerende oplysninger til fanen "lærere og bh.kl.ledere.</t>
  </si>
  <si>
    <t>Som supplement til fanen over løn "BUPL" vises her oversigten over det pædagogiske personales lønforløb. Skalatrinsbeløbene, tillæg, pension mm., fremgår af fanen "BUPL".</t>
  </si>
  <si>
    <r>
      <t xml:space="preserve">Områdetillæg - </t>
    </r>
    <r>
      <rPr>
        <b/>
        <sz val="11"/>
        <color theme="1"/>
        <rFont val="Calibri"/>
        <family val="2"/>
        <scheme val="minor"/>
      </rPr>
      <t>kun i stedtilægsområde 3-6</t>
    </r>
  </si>
  <si>
    <t>Som supplement til fanen løn til "lærere og bh.kl.ledere" skematiseres her, hvilke faste løndele lærere og bh.kl.ledere skal have afhængig af basisløntrin. De enkelte løndele beskrives i fanen "lærere og bh.kl.ledere" Nederst i dette skema er en kort beskrivelse af supplerende pension.</t>
  </si>
  <si>
    <t>Lokalaftalt ulempegodtgørelse - Såfremt skolen har en sådan aftale</t>
  </si>
  <si>
    <t>40, 42</t>
  </si>
  <si>
    <t>40, 42, 44</t>
  </si>
  <si>
    <t xml:space="preserve">Pensionsgivende </t>
  </si>
  <si>
    <t>Se skolens aftale</t>
  </si>
  <si>
    <t>Afhængig af BG</t>
  </si>
  <si>
    <t>Lønforløb for øvrigt pædagogisk personale (oprykning efter 2 års anciennitet)</t>
  </si>
  <si>
    <t xml:space="preserve">Lønforløb for afdelingsledere (oprykning efter 4 års lederanciennitet). </t>
  </si>
  <si>
    <t>Lønforløb for ordninger uden daglig ledelse (oprykning efter 2 års anciennitet)</t>
  </si>
  <si>
    <t>Kan kun benyttes ved ordninger med højst 30 i børnetal!</t>
  </si>
  <si>
    <t>Ikke pædagoguddannede - herunder PGU/PAU</t>
  </si>
  <si>
    <t>ATP til timelønnede: Arbejdsgiverandel pr. time kr. 1,34, arbejderstagerandel pr. time kr. 0,67.</t>
  </si>
  <si>
    <t>Trin 4-tillæg (Ydes kun til lærere, der var ansat på skolen d. 31. marts 2013, og pr. 31. marts havde 12 års lønancienitet</t>
  </si>
  <si>
    <t>Jubilæumsgratialer</t>
  </si>
  <si>
    <t>Souscheftillægget er et månedligt tillæg, som ydes uafhængigt af beskæftigelsesgraden</t>
  </si>
  <si>
    <t>Alm. hovedrengøring + afsluttende rengøring efter håndværkere</t>
  </si>
  <si>
    <t>Tillæg i stedet for frit arbejdstøj, minum:</t>
  </si>
  <si>
    <t>Udligningstillæg - Beregnet ved overgang fra skalatrinsløn til basisløn aug. 2004</t>
  </si>
  <si>
    <t>Ordninger med 31-150 børn:</t>
  </si>
  <si>
    <t>Ordninger med 151 børn og derover:</t>
  </si>
  <si>
    <t>Løn - anden praktikperiode</t>
  </si>
  <si>
    <t>Løn  - tredje praktikperiode</t>
  </si>
  <si>
    <t>Evt. funktionstillæg - beløbet aftales</t>
  </si>
  <si>
    <r>
      <t xml:space="preserve">Månedsløn </t>
    </r>
    <r>
      <rPr>
        <b/>
        <sz val="10"/>
        <rFont val="Arial"/>
        <family val="2"/>
      </rPr>
      <t>- reguleret med gældende reguleringsprocent</t>
    </r>
  </si>
  <si>
    <r>
      <t>Timelønnede</t>
    </r>
    <r>
      <rPr>
        <b/>
        <sz val="10"/>
        <rFont val="Arial"/>
        <family val="2"/>
      </rPr>
      <t xml:space="preserve"> - reguleret med gældende reguleringsprocent</t>
    </r>
  </si>
  <si>
    <r>
      <t xml:space="preserve">Månedsløn  </t>
    </r>
    <r>
      <rPr>
        <b/>
        <sz val="10"/>
        <rFont val="Arial"/>
        <family val="2"/>
      </rPr>
      <t>- reguleret med gældende reguleringsprocent</t>
    </r>
  </si>
  <si>
    <r>
      <t>Månedsløn</t>
    </r>
    <r>
      <rPr>
        <b/>
        <sz val="10"/>
        <rFont val="Arial"/>
        <family val="2"/>
      </rPr>
      <t xml:space="preserve"> -er reguleret med gældende reguleringsprocent</t>
    </r>
  </si>
  <si>
    <t>OK 13-tillæg.</t>
  </si>
  <si>
    <t xml:space="preserve">For lærere og bh.kl.ledere med tjenestemandspension er de "pensionsgivende løndele" ikke nødvendigvis pensionsgivende, bortset fra soucheftillæg og  </t>
  </si>
  <si>
    <t>Pensionsgivende</t>
  </si>
  <si>
    <t>Områdetillæg pr. måned</t>
  </si>
  <si>
    <t xml:space="preserve">OK-2008 tillæg </t>
  </si>
  <si>
    <t xml:space="preserve">Souscheftillæg </t>
  </si>
  <si>
    <t>Ikke pensionsgivende</t>
  </si>
  <si>
    <t xml:space="preserve">Tillæg til specialundervisning </t>
  </si>
  <si>
    <t>Arbejdstidsbestemte tillæg</t>
  </si>
  <si>
    <t>Løninterval</t>
  </si>
  <si>
    <t>Beløbsgrænse for engangsvederlag hvori der også er aftalt resultatløn</t>
  </si>
  <si>
    <t>Beløbsgrænse for engangsvederlag uden aftalt resultatløn</t>
  </si>
  <si>
    <t>Afhængig af beskæftigelsesgraden. Den pensionsberettigede løn er pensionsberettiget</t>
  </si>
  <si>
    <t>Afhængigt  af beskæftigelsesgraden. Pensionsgivende</t>
  </si>
  <si>
    <t>Overenskomsttillæg pr. 1. august 2015 (gælder IKKE lederere og lukkede grupper)</t>
  </si>
  <si>
    <t>Afhængigt af beskæftigelsesgrad. Ikke pensionsgivende.(Tillægget er ureguleret)</t>
  </si>
  <si>
    <t>Afhængigt af beskæftelsesgraden. Ikke pensionsgivende.</t>
  </si>
  <si>
    <t>Afhængigt af beskæftigelsesgraden. Pensionsgivende for alle.</t>
  </si>
  <si>
    <t>Ikke afhængigt af beskæftigelsesgraden. Pensionsgivende</t>
  </si>
  <si>
    <t>Tillidsrepræsentanter</t>
  </si>
  <si>
    <t>Praktikansvarlige</t>
  </si>
  <si>
    <t>Tillægget er et mdr. tillæg</t>
  </si>
  <si>
    <t xml:space="preserve">DENNE LØNTABEL GÆLDER ALENE ANSATTE OK MELLEM 3F og følgende skoleforrenigner:                                                                                      </t>
  </si>
  <si>
    <t>Årligt tillæg- udbetales med 1/12 pr. md</t>
  </si>
  <si>
    <t xml:space="preserve">Hovedrengøringstillæg </t>
  </si>
  <si>
    <t xml:space="preserve">Funktionstillæg </t>
  </si>
  <si>
    <t xml:space="preserve">Dispositionstillæg </t>
  </si>
  <si>
    <t xml:space="preserve">Arbejdstøjstillæg </t>
  </si>
  <si>
    <t>Strategi/langtidsplanlæg.</t>
  </si>
  <si>
    <r>
      <t>Lønnens sammensætning:</t>
    </r>
    <r>
      <rPr>
        <sz val="11"/>
        <rFont val="Arial"/>
        <family val="2"/>
      </rPr>
      <t xml:space="preserve"> Grundløn, relevante funktionstillæg samt individuelt forhandlet personligt tillæg</t>
    </r>
  </si>
  <si>
    <t>Reguleringsfaktoren blev nulstillet d. 31/03/2012, hvorefter der blev beregnet nye grundbeløb</t>
  </si>
  <si>
    <t>Pr. time udover hele døgn</t>
  </si>
  <si>
    <t>Danmarks Private Skoler</t>
  </si>
  <si>
    <t>DENNE LØNTABEL GÆLDER ALENE FOR ANSATTE EFTER OVERENSKOMST MELLEM 3F OG DANMARKS PRIVATE SKOLER</t>
  </si>
  <si>
    <t>Fradrag for morgenmad(15%)</t>
  </si>
  <si>
    <t>Fradrag for frokost(30%)</t>
  </si>
  <si>
    <t>Fradrag for aftenmåltid(30%)</t>
  </si>
  <si>
    <t>Fradrag for fuld kost(75%)</t>
  </si>
  <si>
    <t>Denne version er udgivet af:</t>
  </si>
  <si>
    <t xml:space="preserve">Løntabellen omfatter følgende medarbejdere/overenskomster: </t>
  </si>
  <si>
    <t xml:space="preserve">Ansatte under BUPL </t>
  </si>
  <si>
    <t>Ansatte under 3F</t>
  </si>
  <si>
    <t>Samt andre gældende satser</t>
  </si>
  <si>
    <t>Beløb</t>
  </si>
  <si>
    <t>Beløb pr. år</t>
  </si>
  <si>
    <t>Grundbeløb pr. time</t>
  </si>
  <si>
    <t>Beløb pr. time</t>
  </si>
  <si>
    <t>Pensionsbidrag 15%</t>
  </si>
  <si>
    <t>Statens takster afhængig af områdetillæg</t>
  </si>
  <si>
    <t>(oversigt over stedtillægsområder findes under fanen "generelle satser")</t>
  </si>
  <si>
    <t>Ja - såfremt det udb. som et fast mdr. beløb</t>
  </si>
  <si>
    <t>Albertslund, Ballerup, Brøndby, Dragør, Egedal, Frederiksberg, Furesø, Gentofte, Gladsaxe, Glostrup, Greve, Herlev, Hvidovre, Høje-Taastrup, Ishøj, København, Lyngby-Taarbæk, Rudersdal, Rødovre, Tårnby, Vallensbæk.</t>
  </si>
  <si>
    <t>Ikke afhængigt af beskæftigelsesgraden. Pensionsgivende.</t>
  </si>
  <si>
    <t>Tillæg til specialuv. af svært handikappede elever eller 2-sprogede.</t>
  </si>
  <si>
    <r>
      <rPr>
        <b/>
        <sz val="11"/>
        <color theme="1"/>
        <rFont val="Arial"/>
        <family val="2"/>
      </rPr>
      <t>Ulempetillæg: 25% af nettotimelønnen.</t>
    </r>
    <r>
      <rPr>
        <sz val="11"/>
        <color theme="1"/>
        <rFont val="Arial"/>
        <family val="2"/>
      </rPr>
      <t xml:space="preserve"> Ydes på hverdage fra kl. 17.00-06.00. I weekender fra kl. 00.00-søndag kl. 24.00. Søgnehelligdage fra kl.00.00 til kl. 24.00. Grundlovsdag efter kl. 12:00 samt juleaftensdag efter kl. 14.00.</t>
    </r>
  </si>
  <si>
    <r>
      <rPr>
        <b/>
        <sz val="11"/>
        <color theme="1"/>
        <rFont val="Arial"/>
        <family val="2"/>
      </rPr>
      <t xml:space="preserve">Weekendtillæg: Nettotimelønnen + 50%:  </t>
    </r>
    <r>
      <rPr>
        <sz val="11"/>
        <color theme="1"/>
        <rFont val="Arial"/>
        <family val="2"/>
      </rPr>
      <t>Ydes fra fredag kl. 00.00 - søndag kl. 24.00 samt søgnehelligdage fra kl. 00.00-24.00.</t>
    </r>
  </si>
  <si>
    <t>I alt 17,1%*</t>
  </si>
  <si>
    <t>Rektor ved private gymnasieskoler</t>
  </si>
  <si>
    <t>o. 700</t>
  </si>
  <si>
    <t>u. 700</t>
  </si>
  <si>
    <t>I alt 16,8%</t>
  </si>
  <si>
    <t>Pensionsbidrag til MP</t>
  </si>
  <si>
    <t>Pensionsgivende løntillæg til lønnen som adjunkt/lektor</t>
  </si>
  <si>
    <t>Ledende inspektor (stedfortræder for rektor)*</t>
  </si>
  <si>
    <t>Pædagogisk faglige koordinatoerer</t>
  </si>
  <si>
    <t>Stillings-gruppe</t>
  </si>
  <si>
    <t>Pædagogiske ledere under rektorniveau</t>
  </si>
  <si>
    <t>Tillæg for kostinspektion for lærere uden tjenestebolig</t>
  </si>
  <si>
    <t>* Såfremt vejledningen udføres af flere lærere, deles tillægget forholdsmæssigt</t>
  </si>
  <si>
    <t>Vejledning ved pædagogikumuddannelsen *</t>
  </si>
  <si>
    <t>Biologi, fysik og kemi samlet forløb</t>
  </si>
  <si>
    <t>0 - B</t>
  </si>
  <si>
    <t>B - A</t>
  </si>
  <si>
    <t>Biologi, fysik og kemi</t>
  </si>
  <si>
    <t>C - B</t>
  </si>
  <si>
    <t>0 - C</t>
  </si>
  <si>
    <t>C</t>
  </si>
  <si>
    <t>Billedkunst, mediefag, drama og musik</t>
  </si>
  <si>
    <t>Niveau</t>
  </si>
  <si>
    <t>Undervisning i visse fag - tillæg pr. forløb pr. klasse/hold</t>
  </si>
  <si>
    <t xml:space="preserve">801 - </t>
  </si>
  <si>
    <t>601 - 800</t>
  </si>
  <si>
    <t>401 - 600</t>
  </si>
  <si>
    <t>201 - 400</t>
  </si>
  <si>
    <t>Elevtal i gymnasiet</t>
  </si>
  <si>
    <t>Tilsyn med biologi/geografi</t>
  </si>
  <si>
    <t>Tilsyn med fysik/kemi</t>
  </si>
  <si>
    <t>7. år og følgende</t>
  </si>
  <si>
    <t>5. år</t>
  </si>
  <si>
    <t>4. år</t>
  </si>
  <si>
    <t>3. år</t>
  </si>
  <si>
    <t>2. år</t>
  </si>
  <si>
    <t>1. år</t>
  </si>
  <si>
    <t>Centralt aftalt kvalifikationstillæg - anciennitet</t>
  </si>
  <si>
    <t>Løntrin*</t>
  </si>
  <si>
    <t>Gymnasielærere   (adjunkt/lektor)</t>
  </si>
  <si>
    <t>Lærere, pædagogiske ledere og rektorer ved gymnasiskolen</t>
  </si>
  <si>
    <t>Afhængigt af beskæftigelsesgraden samt pensionsgivende</t>
  </si>
  <si>
    <t>Tilsyn med samling og undervisning i visse fag</t>
  </si>
  <si>
    <t xml:space="preserve">Centralt  aftalte funktionstillæg </t>
  </si>
  <si>
    <t>Ikke afhængig af beskæftigelsesgraden. Pensionsgivende</t>
  </si>
  <si>
    <t>Tillægget ydes pr. kandidat. Ikke afhængig af beskæftigelsesgraden.  Pensionsgivende.</t>
  </si>
  <si>
    <t>Tillægget er ikke afhængig af beskæftigelsesgraden. Ikke pensionsgivende.</t>
  </si>
  <si>
    <t>Andre stillinger i gymnasieskolen:</t>
  </si>
  <si>
    <t>Intervalløn pr. år</t>
  </si>
  <si>
    <t>Min</t>
  </si>
  <si>
    <t>Maks</t>
  </si>
  <si>
    <t>Beløb pr. mdr.
Pr. måned</t>
  </si>
  <si>
    <t xml:space="preserve">Undervisningstillæg </t>
  </si>
  <si>
    <t>Time- og dagpenge</t>
  </si>
  <si>
    <r>
      <t>Der</t>
    </r>
    <r>
      <rPr>
        <b/>
        <sz val="11"/>
        <color theme="1"/>
        <rFont val="Arial"/>
        <family val="2"/>
      </rPr>
      <t xml:space="preserve"> kan</t>
    </r>
    <r>
      <rPr>
        <sz val="11"/>
        <color theme="1"/>
        <rFont val="Arial"/>
        <family val="2"/>
      </rPr>
      <t xml:space="preserve"> aftales tillæg for særlige funktioner. For funktionen som køkkenleder og serviceleder </t>
    </r>
    <r>
      <rPr>
        <b/>
        <sz val="11"/>
        <color theme="1"/>
        <rFont val="Arial"/>
        <family val="2"/>
      </rPr>
      <t>SKAL</t>
    </r>
    <r>
      <rPr>
        <sz val="11"/>
        <color theme="1"/>
        <rFont val="Arial"/>
        <family val="2"/>
      </rPr>
      <t xml:space="preserve"> der aftale funktionstillæg</t>
    </r>
  </si>
  <si>
    <t>* Nyudpegning af andre inspektorer kan ikke finde sted.</t>
  </si>
  <si>
    <t>Pr. døgn á 24 timer</t>
  </si>
  <si>
    <t>Fag</t>
  </si>
  <si>
    <t>6. År</t>
  </si>
  <si>
    <t>Cand. phil</t>
  </si>
  <si>
    <t>Løntrin</t>
  </si>
  <si>
    <t>1. - 3.</t>
  </si>
  <si>
    <t>4.-5.</t>
  </si>
  <si>
    <t>6. og frem</t>
  </si>
  <si>
    <t xml:space="preserve">1.-3. </t>
  </si>
  <si>
    <t xml:space="preserve">4.-7. </t>
  </si>
  <si>
    <t>8. og frem</t>
  </si>
  <si>
    <t>Lønramme 37, som består af skalatrin 50</t>
  </si>
  <si>
    <t>0 - A</t>
  </si>
  <si>
    <t>*Lønforløb afhænger af uddannelsesmæssig baggrund og anciennitet</t>
  </si>
  <si>
    <t>Lærere, ledere og børnehaveklasseledere ved grundskoler</t>
  </si>
  <si>
    <t>Rektorer, ledere og lærere ved gymnasieskoler</t>
  </si>
  <si>
    <t xml:space="preserve">Pensionsbidrag </t>
  </si>
  <si>
    <t>er reguleret med gældende reguleringsprocent</t>
  </si>
  <si>
    <t>Månedsløn til afd. ledere</t>
  </si>
  <si>
    <t>Overenskomsttillæg pr. 1 august 2015: kr. 2.000,- i grundbeløb pr. år. Pr. 1. april 2017 yderligere kr. 2.000,- i grundbeløb pr. år.</t>
  </si>
  <si>
    <t>Godtgørelse for 2-delt tjeneste</t>
  </si>
  <si>
    <t>Godtgørelse for 3-delt tjeneste</t>
  </si>
  <si>
    <t>Godtgørelse for omlagt tjeneste</t>
  </si>
  <si>
    <t>Pensions-bidrag til MP</t>
  </si>
  <si>
    <t>Pensiongivende løn</t>
  </si>
  <si>
    <t>for ansatte på de frie skoler</t>
  </si>
  <si>
    <t>Der indbetales pensionsbidrag på 16,8 % til MP.</t>
  </si>
  <si>
    <t>* Den del af pensionsbidraget, der ligger over 16,8% kan efter den ansattes eget valg udmøntes som løn. For valg af pensionsselskab se Overenskomst for akademikere i Staten bilag A. Udover skalatrinslønnen kan der ydes tilllæg efter lokal aftale i henhold bemyndigelse fra Undervisningsministeriet og efter Aftale om chefløn</t>
  </si>
  <si>
    <t xml:space="preserve">Magistre generelt </t>
  </si>
  <si>
    <t>Heraf anses 1/3 for medarbejderens egetbidrag</t>
  </si>
  <si>
    <t>Godtgørelse for tjeneste på lørdage efter kl. 14:00, samt lørdage før kl. 14:00 såfremt  halvdelen af arb.tiden ligger efter kl. 14:00 plus Grundlovsdag efter kl. 12.00</t>
  </si>
  <si>
    <t>(i alt 8% fordelt over en  3-årig periode)</t>
  </si>
  <si>
    <t>OK18-tillæg</t>
  </si>
  <si>
    <t xml:space="preserve">OK-2013 tillæg </t>
  </si>
  <si>
    <t xml:space="preserve">OK-2018 tillæg </t>
  </si>
  <si>
    <t xml:space="preserve">Aftalt løn kr. 31.500,- pr. Måned </t>
  </si>
  <si>
    <r>
      <t xml:space="preserve">Timelønnede </t>
    </r>
    <r>
      <rPr>
        <b/>
        <sz val="10"/>
        <color theme="1"/>
        <rFont val="Arial"/>
        <family val="2"/>
      </rPr>
      <t>- reguleret med gældende reguleringsprocent</t>
    </r>
  </si>
  <si>
    <t>Dansk Friskoleforening, Danmarks Private Skoler samt Deutche Schul- und spracherein,</t>
  </si>
  <si>
    <t xml:space="preserve">Arbejdstøj, teknisk service </t>
  </si>
  <si>
    <t>Kr. pr. år</t>
  </si>
  <si>
    <t>Ved fuldtidsansættelse</t>
  </si>
  <si>
    <t>0/04/2019</t>
  </si>
  <si>
    <t>Afhængigt af beskæftigelsesgraden samt pensionsgivende for ansatte med Lærernes Pension</t>
  </si>
  <si>
    <t>Pensionsgivende for ansatte med Lærernes Pension</t>
  </si>
  <si>
    <t>Arbejdstidsbestemte tillæg i tilfælde af delt tjeneste.</t>
  </si>
  <si>
    <r>
      <rPr>
        <b/>
        <sz val="10"/>
        <color theme="1"/>
        <rFont val="Arial"/>
        <family val="2"/>
      </rPr>
      <t>BEMÆRK</t>
    </r>
    <r>
      <rPr>
        <sz val="10"/>
        <color theme="1"/>
        <rFont val="Arial"/>
        <family val="2"/>
      </rPr>
      <t>: Ansatte på gymnasieskoler er omfattet af ATP F-bidrag. Se satserne under fanen "Gymnasieskoler"</t>
    </r>
  </si>
  <si>
    <t>ATPbidrag fra 1. januar 2018(F-bidrag)</t>
  </si>
  <si>
    <t>350-699</t>
  </si>
  <si>
    <t>700 -</t>
  </si>
  <si>
    <t>Lønintervaller for øverste leder</t>
  </si>
  <si>
    <t>0 - 349 elever</t>
  </si>
  <si>
    <t>Der kan aftales varige og/eller midlertidige funktions- eller kvalifikationstillæg.</t>
  </si>
  <si>
    <t>Udover intervallønnen til skolens øverste leder og basislønnen til skolens mellemleder, kan der aftales resultatløn samt aftale om honorering af særlig indsats - dette i henhold til bemyndigelsesskrivelser fra Undervisningsministeriet.</t>
  </si>
  <si>
    <t xml:space="preserve">Ændringerne i denne løntabel er: </t>
  </si>
  <si>
    <t>ATPbidrag fra 1. januar 2019(A-bidrag)</t>
  </si>
  <si>
    <t>Orientering om nye satser for skolens øverste leder og mellemleder</t>
  </si>
  <si>
    <t>Foreløbig lønaftale</t>
  </si>
  <si>
    <t>Lønintervaller for øverste leder ved skoler med kostafdeling</t>
  </si>
  <si>
    <t>*) indtil 20.000 km pr. år derefter 1,98</t>
  </si>
  <si>
    <t>01/04/2019</t>
  </si>
  <si>
    <t>30.09.2019</t>
  </si>
  <si>
    <t>Gældende fra 1. april 2019</t>
  </si>
  <si>
    <t>Denne løntabel er gældende indtil 30. september 2019</t>
  </si>
  <si>
    <t>Supplerende pension: Opmærksomheden henledes på ansatte med ret til tjenestemandspension. Ansatte med ret til tjenestemandspension, skal have supplerende pension i Lærernes Pension på 18% for pensionsgivende lønddele, der overstiger slutskalatrin incl. 2 ekstra trin. For lærere: Skalatrin 42, for bhkl.ledere: trin 33.  For pensionsgivende løndele under slutskalatrin incl. 2 skalatrin skal supplerende pension indbetales med 17,3%, såfremt supplerende pension er aftalt.</t>
  </si>
  <si>
    <t>Skalatrinslønnen nærmest herunder på skalatrin 40: kr. 31.074,50 pr. måned.</t>
  </si>
  <si>
    <t>Pensionstilsvaret bliver 15% af den pensionsgivende løn på skalatrin 40 = 15% af kr. 31.374,50 pr. måned = kr. 4.706,18</t>
  </si>
  <si>
    <t>Aftalt løn kr. 33.000,- pr. måned</t>
  </si>
  <si>
    <t>Skalatrinslønnen nærmest herunder på skalatrin 42: kr. 32.697,33 pr. måned.</t>
  </si>
  <si>
    <t>Pensionstilsvaret bliver 15% af den pensionsgivende løn på skalatrin 42 = 15% af kr. 32.697,33 pr. måned = kr. 4.904,60</t>
  </si>
  <si>
    <t>Tillægget ydes til lærere- og børnehaveklasseledere, der i den almindelige undervisning har ansvaret for undervisning af en eller flere elever med et minimums specialundervisningsbehov på 9 klokketimer/12 undervisningslektioner og til hvem skolen modtager ekstra tilskud(SPS-tilskud), samt støtteundervisning i dansk for tosprogede elever.</t>
  </si>
  <si>
    <t>gældende for perioden 1. april 2019 til og med 30.09.2019</t>
  </si>
  <si>
    <t>Kontorpersonale</t>
  </si>
  <si>
    <t>Denne løntabel gælder alene for ansatte, hvor skolen har tilsluttet sig overenskomst mellem Danmarks Private Skoler - grundskoler og gymnasier eller Dansk Friskoleforening og HK/Privat 2018-2021.</t>
  </si>
  <si>
    <t>Kontormedarbejdere</t>
  </si>
  <si>
    <t>Oprykning til næste skalatrin sker efter hver 2. års lønanciennitet.</t>
  </si>
  <si>
    <t>Kontorassistenter</t>
  </si>
  <si>
    <t>Kontorfuldmægtige</t>
  </si>
  <si>
    <t>Forretningsfører</t>
  </si>
  <si>
    <t>Timelønnede med relevant kontorfaglig uddannelse</t>
  </si>
  <si>
    <t>Tillæg til tillidsrepræsentant</t>
  </si>
  <si>
    <t>Beløb pr. måned</t>
  </si>
  <si>
    <t>Aflønning af elever</t>
  </si>
  <si>
    <t>Grundbeløb pr. måned</t>
  </si>
  <si>
    <t>Elever over 18 år</t>
  </si>
  <si>
    <t>Stedtillægsområde 4, 5 og 6</t>
  </si>
  <si>
    <t>Stedtillægsområde 2 og 3</t>
  </si>
  <si>
    <t>Elever under 18 år</t>
  </si>
  <si>
    <t>Månedsløn  - reguleret med gældende reguleringsprocent</t>
  </si>
  <si>
    <t>Voksenelever over 25 år</t>
  </si>
  <si>
    <t>Under hele elevtiden</t>
  </si>
  <si>
    <t>Timelønede uden relevant kontorfaglig uddannelse</t>
  </si>
  <si>
    <t>Løntabellen er reguleret med regulereingsprocenten på 8,4911</t>
  </si>
  <si>
    <t>Basisløn for øvrige ledere</t>
  </si>
  <si>
    <t>Øverste leder og øvrige ledere</t>
  </si>
  <si>
    <t>Øvrige ledere</t>
  </si>
  <si>
    <t xml:space="preserve">Denne løntabel indeholder den nye lederaftale(cirkulære udsendt d. 16. april) gældende fra 1. januar 2019. </t>
  </si>
  <si>
    <t>Ved overgang til denne aftale skal lederens nye samlede løn mindst svare til den samlede faste løn forud for overgangen. Såfremt lederen ved overgang til det nye løninterval eller basisløntrin opnår en løn inklusiv eventuelle varige tillæg, som er lavere end den hidtidige faste løn inklusiv varige tillæg, udlignes forskellen med et personligt udligningstillæg.</t>
  </si>
  <si>
    <t>Til udregning af det personlige udligningstillæg kan følgende værktøj anvendes:</t>
  </si>
  <si>
    <t>https://www.friskoler.dk/vaerktoejer/oekonomi-og-loen/loen/loen-til-skoleledere/</t>
  </si>
  <si>
    <t>Udgivet d. 6. maj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</si>
</sst>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k_r_-;\-* #,##0.00\ _k_r_-;_-* &quot;-&quot;??\ _k_r_-;_-@_-"/>
    <numFmt numFmtId="165" formatCode="dd:mm:yyyy;@"/>
    <numFmt numFmtId="166" formatCode="0.0000"/>
    <numFmt numFmtId="167" formatCode="dd/mm/yy;@"/>
    <numFmt numFmtId="168" formatCode="_(* #,##0.00_);_(* \(#,##0.00\);_(* &quot;-&quot;??_);_(@_)"/>
    <numFmt numFmtId="169" formatCode="_(&quot;kr&quot;\ * #,##0.00_);_(&quot;kr&quot;\ * \(#,##0.00\);_(&quot;kr&quot;\ * &quot;-&quot;??_);_(@_)"/>
    <numFmt numFmtId="170" formatCode="_(&quot;kr&quot;\ * #,##0_);_(&quot;kr&quot;\ * \(#,##0\);_(&quot;kr&quot;\ * &quot;-&quot;??_);_(@_)"/>
  </numFmts>
  <fonts count="89">
    <font>
      <sz val="11"/>
      <color theme="1"/>
      <name val="Calibri"/>
      <family val="2"/>
      <scheme val="minor"/>
    </font>
    <font>
      <sz val="12"/>
      <color theme="1"/>
      <name val="Calibri"/>
      <family val="2"/>
      <scheme val="minor"/>
    </font>
    <font>
      <sz val="10"/>
      <color theme="1"/>
      <name val="Times New Roman"/>
      <family val="1"/>
    </font>
    <font>
      <sz val="11"/>
      <color theme="1"/>
      <name val="Times New Roman"/>
      <family val="1"/>
    </font>
    <font>
      <u/>
      <sz val="11"/>
      <color theme="10"/>
      <name val="Calibri"/>
      <family val="2"/>
      <scheme val="minor"/>
    </font>
    <font>
      <u/>
      <sz val="11"/>
      <color theme="11"/>
      <name val="Calibri"/>
      <family val="2"/>
      <scheme val="minor"/>
    </font>
    <font>
      <sz val="8"/>
      <name val="Calibri"/>
      <family val="2"/>
      <scheme val="minor"/>
    </font>
    <font>
      <sz val="10"/>
      <color rgb="FF000000"/>
      <name val="Times New Roman"/>
      <family val="1"/>
    </font>
    <font>
      <sz val="11"/>
      <color rgb="FF000000"/>
      <name val="Times New Roman"/>
      <family val="1"/>
    </font>
    <font>
      <sz val="10"/>
      <name val="Helvetica"/>
      <family val="2"/>
    </font>
    <font>
      <b/>
      <sz val="14"/>
      <color theme="1"/>
      <name val="Arial"/>
      <family val="2"/>
    </font>
    <font>
      <b/>
      <sz val="10"/>
      <color theme="1"/>
      <name val="Arial"/>
      <family val="2"/>
    </font>
    <font>
      <sz val="10"/>
      <color theme="1"/>
      <name val="Arial"/>
      <family val="2"/>
    </font>
    <font>
      <b/>
      <sz val="11"/>
      <color theme="1"/>
      <name val="Arial"/>
      <family val="2"/>
    </font>
    <font>
      <sz val="11"/>
      <color theme="1"/>
      <name val="Arial"/>
      <family val="2"/>
    </font>
    <font>
      <sz val="14"/>
      <color theme="1"/>
      <name val="Arial"/>
      <family val="2"/>
    </font>
    <font>
      <sz val="12"/>
      <color theme="1"/>
      <name val="Arial"/>
      <family val="2"/>
    </font>
    <font>
      <b/>
      <sz val="12"/>
      <color theme="1"/>
      <name val="Arial"/>
      <family val="2"/>
    </font>
    <font>
      <sz val="10"/>
      <color theme="1"/>
      <name val="Arial"/>
      <family val="2"/>
    </font>
    <font>
      <b/>
      <sz val="14"/>
      <color theme="1"/>
      <name val="Arial"/>
      <family val="2"/>
    </font>
    <font>
      <sz val="11"/>
      <color theme="1"/>
      <name val="Arial"/>
      <family val="2"/>
    </font>
    <font>
      <b/>
      <sz val="11"/>
      <color theme="1"/>
      <name val="Arial"/>
      <family val="2"/>
    </font>
    <font>
      <b/>
      <sz val="10"/>
      <color rgb="FF000000"/>
      <name val="Arial"/>
      <family val="2"/>
    </font>
    <font>
      <b/>
      <sz val="16"/>
      <color theme="1"/>
      <name val="Arial"/>
      <family val="2"/>
    </font>
    <font>
      <b/>
      <sz val="12"/>
      <color theme="1"/>
      <name val="Arial"/>
      <family val="2"/>
    </font>
    <font>
      <b/>
      <sz val="12"/>
      <color rgb="FF000000"/>
      <name val="Arial"/>
      <family val="2"/>
    </font>
    <font>
      <b/>
      <sz val="11"/>
      <color theme="1"/>
      <name val="Calibri"/>
      <family val="2"/>
      <scheme val="minor"/>
    </font>
    <font>
      <sz val="24"/>
      <color theme="1"/>
      <name val="Arial"/>
      <family val="2"/>
    </font>
    <font>
      <sz val="10"/>
      <color rgb="FF000000"/>
      <name val="Arial"/>
      <family val="2"/>
    </font>
    <font>
      <sz val="11"/>
      <color theme="1"/>
      <name val="Calibri"/>
      <family val="2"/>
      <scheme val="minor"/>
    </font>
    <font>
      <sz val="11"/>
      <color theme="0"/>
      <name val="Times New Roman"/>
      <family val="1"/>
    </font>
    <font>
      <sz val="16"/>
      <color theme="1"/>
      <name val="Arial"/>
      <family val="2"/>
    </font>
    <font>
      <sz val="11"/>
      <color rgb="FF000000"/>
      <name val="Arial"/>
      <family val="2"/>
    </font>
    <font>
      <b/>
      <sz val="11"/>
      <color rgb="FF000000"/>
      <name val="Arial"/>
      <family val="2"/>
    </font>
    <font>
      <sz val="13"/>
      <color theme="1"/>
      <name val="Arial"/>
      <family val="2"/>
    </font>
    <font>
      <sz val="20"/>
      <color theme="1"/>
      <name val="Arial"/>
      <family val="2"/>
    </font>
    <font>
      <b/>
      <sz val="14"/>
      <name val="Arial"/>
      <family val="2"/>
    </font>
    <font>
      <b/>
      <sz val="11"/>
      <color theme="1"/>
      <name val="Times New Roman"/>
      <family val="1"/>
    </font>
    <font>
      <sz val="11"/>
      <name val="Arial"/>
      <family val="2"/>
    </font>
    <font>
      <sz val="10"/>
      <name val="Arial"/>
      <family val="2"/>
    </font>
    <font>
      <b/>
      <sz val="16"/>
      <name val="Arial"/>
      <family val="2"/>
    </font>
    <font>
      <b/>
      <sz val="10"/>
      <name val="Arial"/>
      <family val="2"/>
    </font>
    <font>
      <sz val="11"/>
      <name val="Times New Roman"/>
      <family val="1"/>
    </font>
    <font>
      <sz val="10"/>
      <name val="Helv"/>
    </font>
    <font>
      <sz val="11"/>
      <color indexed="8"/>
      <name val="Arial"/>
      <family val="2"/>
    </font>
    <font>
      <b/>
      <sz val="18"/>
      <name val="Times New Roman"/>
      <family val="1"/>
    </font>
    <font>
      <b/>
      <sz val="10"/>
      <name val="Times New Roman"/>
      <family val="1"/>
    </font>
    <font>
      <b/>
      <sz val="11"/>
      <name val="Arial"/>
      <family val="2"/>
    </font>
    <font>
      <b/>
      <i/>
      <sz val="14"/>
      <name val="Arial"/>
      <family val="2"/>
    </font>
    <font>
      <i/>
      <sz val="10"/>
      <name val="Times New Roman"/>
      <family val="1"/>
    </font>
    <font>
      <b/>
      <sz val="16"/>
      <color rgb="FF000000"/>
      <name val="Arial"/>
      <family val="2"/>
    </font>
    <font>
      <b/>
      <i/>
      <sz val="10"/>
      <name val="Arial"/>
      <family val="2"/>
    </font>
    <font>
      <i/>
      <sz val="11"/>
      <color theme="1"/>
      <name val="Arial"/>
      <family val="2"/>
    </font>
    <font>
      <b/>
      <sz val="11"/>
      <color indexed="8"/>
      <name val="Arial"/>
      <family val="2"/>
    </font>
    <font>
      <b/>
      <sz val="12"/>
      <name val="Arial"/>
      <family val="2"/>
    </font>
    <font>
      <b/>
      <sz val="12"/>
      <name val="Times New Roman"/>
      <family val="1"/>
    </font>
    <font>
      <b/>
      <sz val="16"/>
      <color theme="1"/>
      <name val="Calibri"/>
      <family val="2"/>
      <scheme val="minor"/>
    </font>
    <font>
      <sz val="10"/>
      <color theme="1"/>
      <name val="Calibri (Tekst)"/>
    </font>
    <font>
      <sz val="10"/>
      <color theme="1"/>
      <name val="Calibri"/>
      <family val="2"/>
      <scheme val="minor"/>
    </font>
    <font>
      <b/>
      <sz val="10"/>
      <color rgb="FFFF0000"/>
      <name val="Calibri"/>
      <family val="2"/>
      <scheme val="minor"/>
    </font>
    <font>
      <b/>
      <sz val="10"/>
      <color theme="1"/>
      <name val="Calibri"/>
      <family val="2"/>
      <scheme val="minor"/>
    </font>
    <font>
      <i/>
      <sz val="12"/>
      <color theme="1"/>
      <name val="Arial"/>
      <family val="2"/>
    </font>
    <font>
      <sz val="12"/>
      <name val="Arial"/>
      <family val="2"/>
    </font>
    <font>
      <sz val="12"/>
      <color indexed="8"/>
      <name val="Arial"/>
      <family val="2"/>
    </font>
    <font>
      <i/>
      <sz val="10"/>
      <name val="Arial"/>
      <family val="2"/>
    </font>
    <font>
      <i/>
      <sz val="12"/>
      <name val="Arial"/>
      <family val="2"/>
    </font>
    <font>
      <sz val="12"/>
      <name val="Times New Roman"/>
      <family val="1"/>
    </font>
    <font>
      <b/>
      <sz val="12"/>
      <color indexed="8"/>
      <name val="Arial"/>
      <family val="2"/>
    </font>
    <font>
      <i/>
      <sz val="11"/>
      <color theme="1"/>
      <name val="Times New Roman"/>
      <family val="1"/>
    </font>
    <font>
      <b/>
      <sz val="18"/>
      <color theme="1"/>
      <name val="Times New Roman"/>
      <family val="1"/>
    </font>
    <font>
      <sz val="12"/>
      <color rgb="FF000000"/>
      <name val="Arial"/>
      <family val="2"/>
    </font>
    <font>
      <i/>
      <sz val="10"/>
      <color theme="0"/>
      <name val="Times New Roman"/>
      <family val="1"/>
    </font>
    <font>
      <b/>
      <sz val="11"/>
      <name val="Times New Roman"/>
      <family val="1"/>
    </font>
    <font>
      <b/>
      <sz val="16"/>
      <color theme="1"/>
      <name val="Ariel"/>
    </font>
    <font>
      <b/>
      <sz val="14"/>
      <color theme="1"/>
      <name val="Ariel"/>
    </font>
    <font>
      <sz val="12"/>
      <color theme="1"/>
      <name val="Ariel"/>
    </font>
    <font>
      <b/>
      <sz val="12"/>
      <color rgb="FF000000"/>
      <name val="Ariel"/>
    </font>
    <font>
      <b/>
      <sz val="12"/>
      <color theme="1"/>
      <name val="Ariel"/>
    </font>
    <font>
      <sz val="11"/>
      <color theme="1"/>
      <name val="Ariel"/>
    </font>
    <font>
      <sz val="11"/>
      <color rgb="FF000000"/>
      <name val="Ariel"/>
    </font>
    <font>
      <b/>
      <sz val="11"/>
      <color rgb="FF000000"/>
      <name val="Ariel"/>
    </font>
    <font>
      <b/>
      <sz val="11"/>
      <color theme="1"/>
      <name val="Ariel"/>
    </font>
    <font>
      <sz val="11"/>
      <color theme="0"/>
      <name val="Ariel"/>
    </font>
    <font>
      <b/>
      <sz val="16"/>
      <color theme="1"/>
      <name val="Arieloman"/>
    </font>
    <font>
      <sz val="10"/>
      <color theme="1"/>
      <name val="Ariel"/>
    </font>
    <font>
      <i/>
      <sz val="10"/>
      <color theme="1"/>
      <name val="Arial"/>
      <family val="2"/>
    </font>
    <font>
      <b/>
      <i/>
      <sz val="12"/>
      <color theme="1"/>
      <name val="Arial"/>
      <family val="2"/>
    </font>
    <font>
      <sz val="11"/>
      <color theme="0" tint="-0.34998626667073579"/>
      <name val="Times New Roman"/>
      <family val="1"/>
    </font>
    <font>
      <sz val="11"/>
      <color theme="0" tint="-0.34998626667073579"/>
      <name val="Calibri"/>
      <family val="2"/>
      <scheme val="minor"/>
    </font>
  </fonts>
  <fills count="13">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bgColor rgb="FF000000"/>
      </patternFill>
    </fill>
    <fill>
      <patternFill patternType="solid">
        <fgColor theme="0" tint="-0.14999847407452621"/>
        <bgColor rgb="FF000000"/>
      </patternFill>
    </fill>
    <fill>
      <patternFill patternType="solid">
        <fgColor rgb="FFFFFF00"/>
        <bgColor indexed="64"/>
      </patternFill>
    </fill>
    <fill>
      <patternFill patternType="solid">
        <fgColor rgb="FFD9D9D9"/>
        <bgColor rgb="FF000000"/>
      </patternFill>
    </fill>
    <fill>
      <patternFill patternType="solid">
        <fgColor indexed="22"/>
        <bgColor indexed="64"/>
      </patternFill>
    </fill>
    <fill>
      <patternFill patternType="solid">
        <fgColor rgb="FFFFFFFF"/>
        <bgColor rgb="FF000000"/>
      </patternFill>
    </fill>
    <fill>
      <patternFill patternType="solid">
        <fgColor theme="0" tint="-0.14996795556505021"/>
        <bgColor indexed="64"/>
      </patternFill>
    </fill>
    <fill>
      <patternFill patternType="solid">
        <fgColor theme="0" tint="-0.249977111117893"/>
        <bgColor indexed="64"/>
      </patternFill>
    </fill>
  </fills>
  <borders count="8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right style="thin">
        <color auto="1"/>
      </right>
      <top style="thin">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right/>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bottom style="medium">
        <color auto="1"/>
      </bottom>
      <diagonal/>
    </border>
    <border>
      <left/>
      <right style="thin">
        <color auto="1"/>
      </right>
      <top/>
      <bottom style="medium">
        <color auto="1"/>
      </bottom>
      <diagonal/>
    </border>
    <border>
      <left/>
      <right style="thin">
        <color auto="1"/>
      </right>
      <top/>
      <bottom style="thin">
        <color auto="1"/>
      </bottom>
      <diagonal/>
    </border>
    <border>
      <left style="medium">
        <color auto="1"/>
      </left>
      <right/>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thin">
        <color auto="1"/>
      </top>
      <bottom style="thin">
        <color auto="1"/>
      </bottom>
      <diagonal/>
    </border>
    <border>
      <left/>
      <right style="medium">
        <color auto="1"/>
      </right>
      <top/>
      <bottom style="thin">
        <color auto="1"/>
      </bottom>
      <diagonal/>
    </border>
    <border>
      <left style="medium">
        <color auto="1"/>
      </left>
      <right style="medium">
        <color auto="1"/>
      </right>
      <top/>
      <bottom style="thin">
        <color auto="1"/>
      </bottom>
      <diagonal/>
    </border>
    <border>
      <left/>
      <right/>
      <top style="thin">
        <color auto="1"/>
      </top>
      <bottom style="thin">
        <color auto="1"/>
      </bottom>
      <diagonal/>
    </border>
    <border>
      <left/>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style="medium">
        <color auto="1"/>
      </right>
      <top/>
      <bottom style="medium">
        <color auto="1"/>
      </bottom>
      <diagonal/>
    </border>
    <border>
      <left style="medium">
        <color auto="1"/>
      </left>
      <right/>
      <top style="thin">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right style="thin">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thin">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thin">
        <color auto="1"/>
      </top>
      <bottom/>
      <diagonal/>
    </border>
    <border>
      <left/>
      <right style="thin">
        <color rgb="FF000000"/>
      </right>
      <top style="medium">
        <color auto="1"/>
      </top>
      <bottom style="medium">
        <color auto="1"/>
      </bottom>
      <diagonal/>
    </border>
    <border>
      <left/>
      <right style="thin">
        <color auto="1"/>
      </right>
      <top/>
      <bottom/>
      <diagonal/>
    </border>
    <border>
      <left style="thin">
        <color auto="1"/>
      </left>
      <right/>
      <top style="medium">
        <color auto="1"/>
      </top>
      <bottom/>
      <diagonal/>
    </border>
    <border>
      <left/>
      <right style="thin">
        <color auto="1"/>
      </right>
      <top style="medium">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top/>
      <bottom/>
      <diagonal/>
    </border>
    <border>
      <left style="medium">
        <color indexed="64"/>
      </left>
      <right style="thin">
        <color auto="1"/>
      </right>
      <top style="thin">
        <color auto="1"/>
      </top>
      <bottom/>
      <diagonal/>
    </border>
  </borders>
  <cellStyleXfs count="1471">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3" fontId="9"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164" fontId="29"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39"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3" fontId="43" fillId="0" borderId="0" applyFont="0" applyFill="0" applyBorder="0" applyAlignment="0" applyProtection="0"/>
    <xf numFmtId="168" fontId="39" fillId="0" borderId="0" applyFont="0" applyFill="0" applyBorder="0" applyAlignment="0" applyProtection="0"/>
    <xf numFmtId="9" fontId="39" fillId="0" borderId="0" applyFont="0" applyFill="0" applyBorder="0" applyAlignment="0" applyProtection="0"/>
    <xf numFmtId="169" fontId="39"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cellStyleXfs>
  <cellXfs count="2088">
    <xf numFmtId="0" fontId="0" fillId="0" borderId="0" xfId="0"/>
    <xf numFmtId="0" fontId="2" fillId="0" borderId="0" xfId="0" applyFont="1"/>
    <xf numFmtId="0" fontId="3" fillId="0" borderId="0" xfId="0" applyFont="1"/>
    <xf numFmtId="0" fontId="7" fillId="0" borderId="0" xfId="0" applyFont="1"/>
    <xf numFmtId="0" fontId="8" fillId="0" borderId="0" xfId="0" applyFont="1"/>
    <xf numFmtId="165" fontId="0" fillId="0" borderId="0" xfId="0" applyNumberFormat="1"/>
    <xf numFmtId="4" fontId="3" fillId="0" borderId="0" xfId="0" applyNumberFormat="1" applyFont="1" applyBorder="1" applyAlignment="1">
      <alignment horizontal="center"/>
    </xf>
    <xf numFmtId="0" fontId="12" fillId="0" borderId="0" xfId="0" applyFont="1"/>
    <xf numFmtId="0" fontId="12" fillId="0" borderId="0" xfId="0" applyFont="1" applyBorder="1" applyAlignment="1">
      <alignment horizontal="center"/>
    </xf>
    <xf numFmtId="3" fontId="12" fillId="0" borderId="0" xfId="0" applyNumberFormat="1" applyFont="1" applyBorder="1" applyAlignment="1">
      <alignment horizontal="center"/>
    </xf>
    <xf numFmtId="4" fontId="12" fillId="0" borderId="0" xfId="0" applyNumberFormat="1" applyFont="1" applyBorder="1" applyAlignment="1">
      <alignment horizontal="center"/>
    </xf>
    <xf numFmtId="0" fontId="12" fillId="3" borderId="0" xfId="0" applyFont="1" applyFill="1" applyBorder="1" applyAlignment="1">
      <alignment horizontal="center" vertical="center" wrapText="1"/>
    </xf>
    <xf numFmtId="0" fontId="0" fillId="0" borderId="0" xfId="0" applyAlignment="1">
      <alignment horizontal="right"/>
    </xf>
    <xf numFmtId="0" fontId="0" fillId="0" borderId="0" xfId="0" applyAlignment="1">
      <alignment horizontal="center"/>
    </xf>
    <xf numFmtId="0" fontId="14" fillId="0" borderId="0" xfId="0" applyFont="1"/>
    <xf numFmtId="0" fontId="14" fillId="0" borderId="0" xfId="0" applyFont="1" applyAlignment="1">
      <alignment horizontal="center"/>
    </xf>
    <xf numFmtId="0" fontId="14" fillId="3" borderId="0" xfId="0" quotePrefix="1" applyFont="1" applyFill="1" applyBorder="1" applyAlignment="1">
      <alignment vertical="center" wrapText="1"/>
    </xf>
    <xf numFmtId="0" fontId="19" fillId="0" borderId="0" xfId="0" applyFont="1"/>
    <xf numFmtId="166" fontId="18" fillId="0" borderId="8" xfId="0" applyNumberFormat="1" applyFont="1" applyBorder="1"/>
    <xf numFmtId="0" fontId="23" fillId="0" borderId="0" xfId="0" applyFont="1"/>
    <xf numFmtId="0" fontId="20" fillId="0" borderId="0" xfId="0" applyFont="1"/>
    <xf numFmtId="0" fontId="21" fillId="0" borderId="0" xfId="0" applyFont="1"/>
    <xf numFmtId="0" fontId="21" fillId="2" borderId="4" xfId="0" applyFont="1" applyFill="1" applyBorder="1" applyAlignment="1">
      <alignment horizontal="center"/>
    </xf>
    <xf numFmtId="0" fontId="21" fillId="2" borderId="6" xfId="0" applyFont="1" applyFill="1" applyBorder="1" applyAlignment="1">
      <alignment horizontal="center"/>
    </xf>
    <xf numFmtId="0" fontId="20" fillId="0" borderId="0" xfId="0" applyFont="1" applyBorder="1"/>
    <xf numFmtId="0" fontId="22" fillId="0" borderId="0" xfId="0" applyFont="1" applyBorder="1" applyAlignment="1">
      <alignment horizontal="center"/>
    </xf>
    <xf numFmtId="4" fontId="18" fillId="0" borderId="0" xfId="0" applyNumberFormat="1" applyFont="1" applyBorder="1" applyAlignment="1">
      <alignment horizontal="center"/>
    </xf>
    <xf numFmtId="0" fontId="3" fillId="0" borderId="0" xfId="0" applyFont="1" applyBorder="1"/>
    <xf numFmtId="0" fontId="21" fillId="0" borderId="0" xfId="0" applyFont="1" applyBorder="1" applyAlignment="1">
      <alignment horizontal="center" wrapText="1"/>
    </xf>
    <xf numFmtId="0" fontId="20" fillId="3" borderId="0" xfId="0" applyFont="1" applyFill="1"/>
    <xf numFmtId="0" fontId="24" fillId="3" borderId="0" xfId="0" applyFont="1" applyFill="1"/>
    <xf numFmtId="166" fontId="18" fillId="3" borderId="8" xfId="0" applyNumberFormat="1" applyFont="1" applyFill="1" applyBorder="1"/>
    <xf numFmtId="0" fontId="26" fillId="0" borderId="0" xfId="0" applyFont="1" applyAlignment="1">
      <alignment horizontal="center"/>
    </xf>
    <xf numFmtId="0" fontId="0" fillId="0" borderId="0" xfId="0" applyAlignment="1">
      <alignment vertical="center"/>
    </xf>
    <xf numFmtId="0" fontId="14" fillId="0" borderId="0" xfId="0" applyFont="1" applyAlignment="1">
      <alignment vertical="center"/>
    </xf>
    <xf numFmtId="0" fontId="17" fillId="0" borderId="0" xfId="0" applyFont="1" applyAlignment="1">
      <alignment horizontal="center"/>
    </xf>
    <xf numFmtId="0" fontId="0" fillId="0" borderId="0" xfId="0" applyAlignment="1">
      <alignment horizontal="left"/>
    </xf>
    <xf numFmtId="0" fontId="14" fillId="0" borderId="0" xfId="0" applyFont="1" applyAlignment="1">
      <alignment horizontal="left"/>
    </xf>
    <xf numFmtId="0" fontId="0" fillId="0" borderId="0" xfId="0" applyBorder="1"/>
    <xf numFmtId="0" fontId="10" fillId="0" borderId="0" xfId="0" applyFont="1" applyAlignment="1">
      <alignment horizontal="center"/>
    </xf>
    <xf numFmtId="0" fontId="13" fillId="0" borderId="0" xfId="0" applyFont="1" applyBorder="1"/>
    <xf numFmtId="0" fontId="15" fillId="0" borderId="0" xfId="0" applyFont="1" applyBorder="1" applyAlignment="1">
      <alignment horizontal="left" vertical="center" wrapText="1"/>
    </xf>
    <xf numFmtId="0" fontId="30" fillId="0" borderId="0" xfId="0" applyFont="1"/>
    <xf numFmtId="0" fontId="14" fillId="3" borderId="0" xfId="0" applyFont="1" applyFill="1" applyBorder="1" applyAlignment="1">
      <alignment horizontal="center"/>
    </xf>
    <xf numFmtId="0" fontId="31" fillId="3" borderId="0" xfId="0" applyFont="1" applyFill="1" applyBorder="1" applyAlignment="1">
      <alignment horizontal="center"/>
    </xf>
    <xf numFmtId="0" fontId="19" fillId="0" borderId="0" xfId="0" applyFont="1" applyBorder="1" applyAlignment="1"/>
    <xf numFmtId="0" fontId="12" fillId="3" borderId="0" xfId="0" applyFont="1" applyFill="1" applyBorder="1" applyAlignment="1">
      <alignment horizontal="center"/>
    </xf>
    <xf numFmtId="0" fontId="12" fillId="3" borderId="23" xfId="0" applyNumberFormat="1" applyFont="1" applyFill="1" applyBorder="1" applyAlignment="1">
      <alignment horizontal="right"/>
    </xf>
    <xf numFmtId="0" fontId="12" fillId="0" borderId="0" xfId="0" applyNumberFormat="1" applyFont="1" applyBorder="1" applyAlignment="1">
      <alignment horizontal="center"/>
    </xf>
    <xf numFmtId="2" fontId="12" fillId="0" borderId="0" xfId="0" applyNumberFormat="1" applyFont="1" applyBorder="1" applyAlignment="1">
      <alignment horizontal="center"/>
    </xf>
    <xf numFmtId="0" fontId="30" fillId="0" borderId="0" xfId="0" applyFont="1" applyFill="1"/>
    <xf numFmtId="4" fontId="12" fillId="0" borderId="0" xfId="0" applyNumberFormat="1" applyFont="1" applyBorder="1" applyAlignment="1"/>
    <xf numFmtId="164" fontId="12" fillId="0" borderId="0" xfId="80" applyFont="1" applyBorder="1" applyAlignment="1">
      <alignment horizontal="right" vertical="center" wrapText="1"/>
    </xf>
    <xf numFmtId="164" fontId="12" fillId="3" borderId="0" xfId="80" applyFont="1" applyFill="1" applyBorder="1" applyAlignment="1">
      <alignment vertical="center"/>
    </xf>
    <xf numFmtId="164" fontId="12" fillId="0" borderId="0" xfId="80" applyFont="1" applyBorder="1" applyAlignment="1">
      <alignment horizontal="right" vertical="center"/>
    </xf>
    <xf numFmtId="164" fontId="12" fillId="0" borderId="0" xfId="80" applyFont="1" applyBorder="1" applyAlignment="1">
      <alignment horizontal="right"/>
    </xf>
    <xf numFmtId="0" fontId="12" fillId="3" borderId="0" xfId="0" applyFont="1" applyFill="1" applyBorder="1" applyAlignment="1">
      <alignment horizontal="center" wrapText="1"/>
    </xf>
    <xf numFmtId="0" fontId="12" fillId="3" borderId="23" xfId="0" applyFont="1" applyFill="1" applyBorder="1" applyAlignment="1">
      <alignment wrapText="1"/>
    </xf>
    <xf numFmtId="0" fontId="12" fillId="3" borderId="0" xfId="0" applyFont="1" applyFill="1" applyBorder="1" applyAlignment="1">
      <alignment wrapText="1"/>
    </xf>
    <xf numFmtId="4" fontId="12" fillId="3" borderId="0" xfId="0" applyNumberFormat="1" applyFont="1" applyFill="1" applyBorder="1" applyAlignment="1">
      <alignment horizontal="center" vertical="center"/>
    </xf>
    <xf numFmtId="3" fontId="12" fillId="3" borderId="0" xfId="0" applyNumberFormat="1" applyFont="1" applyFill="1" applyBorder="1" applyAlignment="1">
      <alignment horizontal="center"/>
    </xf>
    <xf numFmtId="4" fontId="12" fillId="3" borderId="0" xfId="0" applyNumberFormat="1" applyFont="1" applyFill="1" applyBorder="1" applyAlignment="1">
      <alignment horizontal="center"/>
    </xf>
    <xf numFmtId="0" fontId="12" fillId="3" borderId="0" xfId="0" applyFont="1" applyFill="1"/>
    <xf numFmtId="0" fontId="3" fillId="3" borderId="0" xfId="0" applyFont="1" applyFill="1"/>
    <xf numFmtId="0" fontId="15" fillId="3" borderId="0" xfId="0" applyFont="1" applyFill="1" applyBorder="1" applyAlignment="1">
      <alignment horizontal="center"/>
    </xf>
    <xf numFmtId="0" fontId="34" fillId="3" borderId="0" xfId="0" applyFont="1" applyFill="1" applyBorder="1" applyAlignment="1">
      <alignment horizontal="center" vertical="center" wrapText="1"/>
    </xf>
    <xf numFmtId="14" fontId="28" fillId="5" borderId="0" xfId="0" applyNumberFormat="1" applyFont="1" applyFill="1" applyBorder="1" applyAlignment="1">
      <alignment horizontal="center" vertical="center"/>
    </xf>
    <xf numFmtId="14" fontId="12" fillId="3" borderId="0" xfId="0" applyNumberFormat="1" applyFont="1" applyFill="1" applyBorder="1" applyAlignment="1">
      <alignment horizontal="center" vertical="center" wrapText="1"/>
    </xf>
    <xf numFmtId="0" fontId="15" fillId="3" borderId="0" xfId="0" applyFont="1" applyFill="1" applyBorder="1" applyAlignment="1"/>
    <xf numFmtId="0" fontId="11" fillId="3" borderId="0" xfId="0" applyFont="1" applyFill="1" applyBorder="1" applyAlignment="1">
      <alignment vertical="center"/>
    </xf>
    <xf numFmtId="14" fontId="12" fillId="3" borderId="0" xfId="0" applyNumberFormat="1" applyFont="1" applyFill="1" applyBorder="1" applyAlignment="1">
      <alignment horizontal="center" wrapText="1"/>
    </xf>
    <xf numFmtId="0" fontId="14" fillId="4" borderId="56" xfId="0" applyFont="1" applyFill="1" applyBorder="1" applyAlignment="1">
      <alignment horizontal="left"/>
    </xf>
    <xf numFmtId="0" fontId="14" fillId="4" borderId="48" xfId="0" applyFont="1" applyFill="1" applyBorder="1" applyAlignment="1">
      <alignment horizontal="left"/>
    </xf>
    <xf numFmtId="14" fontId="31" fillId="3" borderId="0" xfId="0" applyNumberFormat="1" applyFont="1" applyFill="1" applyBorder="1" applyAlignment="1">
      <alignment horizontal="center"/>
    </xf>
    <xf numFmtId="4" fontId="14" fillId="0" borderId="0" xfId="0" applyNumberFormat="1" applyFont="1"/>
    <xf numFmtId="0" fontId="12" fillId="3" borderId="0" xfId="0" applyFont="1" applyFill="1" applyBorder="1" applyAlignment="1">
      <alignment horizontal="left" vertical="center" wrapText="1"/>
    </xf>
    <xf numFmtId="0" fontId="0" fillId="3" borderId="0" xfId="0" applyFill="1" applyBorder="1"/>
    <xf numFmtId="14" fontId="28" fillId="5" borderId="0" xfId="0" applyNumberFormat="1" applyFont="1" applyFill="1" applyBorder="1" applyAlignment="1">
      <alignment horizontal="center" vertical="center"/>
    </xf>
    <xf numFmtId="0" fontId="12" fillId="3" borderId="0" xfId="0" applyFont="1" applyFill="1" applyBorder="1"/>
    <xf numFmtId="0" fontId="3" fillId="3" borderId="0" xfId="0" applyFont="1" applyFill="1" applyBorder="1"/>
    <xf numFmtId="0" fontId="12" fillId="3" borderId="0" xfId="0" applyFont="1" applyFill="1" applyBorder="1" applyAlignment="1">
      <alignment horizontal="right" vertical="center"/>
    </xf>
    <xf numFmtId="2" fontId="12" fillId="3" borderId="0" xfId="0" applyNumberFormat="1" applyFont="1" applyFill="1" applyBorder="1" applyAlignment="1">
      <alignment horizontal="center" vertical="center" wrapText="1"/>
    </xf>
    <xf numFmtId="0" fontId="14" fillId="3" borderId="0" xfId="0" applyFont="1" applyFill="1" applyBorder="1" applyAlignment="1">
      <alignment horizontal="left"/>
    </xf>
    <xf numFmtId="0" fontId="12" fillId="3" borderId="0" xfId="0" applyFont="1" applyFill="1" applyBorder="1" applyAlignment="1">
      <alignment horizontal="right"/>
    </xf>
    <xf numFmtId="4" fontId="12" fillId="3" borderId="0" xfId="0" applyNumberFormat="1" applyFont="1" applyFill="1" applyBorder="1" applyAlignment="1">
      <alignment horizontal="right"/>
    </xf>
    <xf numFmtId="4" fontId="12" fillId="3" borderId="0" xfId="0" applyNumberFormat="1" applyFont="1" applyFill="1" applyBorder="1" applyAlignment="1">
      <alignment horizontal="center" vertical="center" wrapText="1"/>
    </xf>
    <xf numFmtId="0" fontId="31" fillId="3" borderId="0" xfId="0" applyFont="1" applyFill="1" applyBorder="1" applyAlignment="1"/>
    <xf numFmtId="14" fontId="31" fillId="3" borderId="0" xfId="0" applyNumberFormat="1" applyFont="1" applyFill="1" applyBorder="1" applyAlignment="1"/>
    <xf numFmtId="0" fontId="31" fillId="3" borderId="0" xfId="0" applyFont="1" applyFill="1" applyBorder="1" applyAlignment="1">
      <alignment horizontal="center" vertical="center"/>
    </xf>
    <xf numFmtId="0" fontId="31" fillId="3" borderId="0" xfId="0" applyFont="1" applyFill="1" applyBorder="1" applyAlignment="1">
      <alignment vertical="center"/>
    </xf>
    <xf numFmtId="14" fontId="14" fillId="3" borderId="0" xfId="0" applyNumberFormat="1" applyFont="1" applyFill="1" applyBorder="1" applyAlignment="1">
      <alignment horizontal="left"/>
    </xf>
    <xf numFmtId="14" fontId="14" fillId="3" borderId="0" xfId="0" applyNumberFormat="1" applyFont="1" applyFill="1" applyBorder="1" applyAlignment="1">
      <alignment horizontal="left" vertical="center" wrapText="1"/>
    </xf>
    <xf numFmtId="14" fontId="13" fillId="3" borderId="0" xfId="0" applyNumberFormat="1" applyFont="1" applyFill="1" applyBorder="1" applyAlignment="1">
      <alignment horizontal="center" vertical="center" wrapText="1"/>
    </xf>
    <xf numFmtId="0" fontId="12" fillId="4" borderId="62" xfId="0" applyFont="1" applyFill="1" applyBorder="1" applyAlignment="1">
      <alignment horizontal="center"/>
    </xf>
    <xf numFmtId="0" fontId="12" fillId="4" borderId="49" xfId="0" applyFont="1" applyFill="1" applyBorder="1" applyAlignment="1">
      <alignment horizontal="center"/>
    </xf>
    <xf numFmtId="0" fontId="12" fillId="4" borderId="50" xfId="0" applyFont="1" applyFill="1" applyBorder="1" applyAlignment="1">
      <alignment horizontal="center"/>
    </xf>
    <xf numFmtId="14" fontId="18" fillId="3" borderId="7" xfId="0" applyNumberFormat="1" applyFont="1" applyFill="1" applyBorder="1" applyAlignment="1">
      <alignment horizontal="center"/>
    </xf>
    <xf numFmtId="0" fontId="20" fillId="4" borderId="42" xfId="0" applyFont="1" applyFill="1" applyBorder="1"/>
    <xf numFmtId="0" fontId="14" fillId="4" borderId="46" xfId="0" applyFont="1" applyFill="1" applyBorder="1" applyAlignment="1">
      <alignment horizontal="center"/>
    </xf>
    <xf numFmtId="0" fontId="14" fillId="4" borderId="49" xfId="0" applyFont="1" applyFill="1" applyBorder="1" applyAlignment="1">
      <alignment horizontal="center"/>
    </xf>
    <xf numFmtId="0" fontId="14" fillId="4" borderId="50" xfId="0" applyFont="1" applyFill="1" applyBorder="1" applyAlignment="1">
      <alignment horizontal="center"/>
    </xf>
    <xf numFmtId="0" fontId="14" fillId="4" borderId="41" xfId="0" applyFont="1" applyFill="1" applyBorder="1" applyAlignment="1">
      <alignment horizontal="center" wrapText="1"/>
    </xf>
    <xf numFmtId="4" fontId="12" fillId="0" borderId="0" xfId="0" applyNumberFormat="1" applyFont="1" applyBorder="1" applyAlignment="1">
      <alignment horizontal="center" vertical="center" wrapText="1"/>
    </xf>
    <xf numFmtId="0" fontId="15" fillId="0" borderId="0" xfId="0" applyFont="1" applyBorder="1"/>
    <xf numFmtId="0" fontId="12" fillId="0" borderId="0" xfId="0" applyFont="1" applyBorder="1"/>
    <xf numFmtId="3" fontId="14" fillId="3" borderId="27" xfId="0" applyNumberFormat="1" applyFont="1" applyFill="1" applyBorder="1" applyAlignment="1">
      <alignment horizontal="center" vertical="center"/>
    </xf>
    <xf numFmtId="3" fontId="14" fillId="3" borderId="47" xfId="0" applyNumberFormat="1" applyFont="1" applyFill="1" applyBorder="1" applyAlignment="1">
      <alignment horizontal="center" vertical="center"/>
    </xf>
    <xf numFmtId="3" fontId="14" fillId="3" borderId="13" xfId="0" applyNumberFormat="1" applyFont="1" applyFill="1" applyBorder="1" applyAlignment="1">
      <alignment horizontal="center" vertical="center"/>
    </xf>
    <xf numFmtId="3" fontId="14" fillId="3" borderId="15" xfId="0" applyNumberFormat="1" applyFont="1" applyFill="1" applyBorder="1" applyAlignment="1">
      <alignment horizontal="center" vertical="center"/>
    </xf>
    <xf numFmtId="3" fontId="14" fillId="3" borderId="44" xfId="0" applyNumberFormat="1" applyFont="1" applyFill="1" applyBorder="1" applyAlignment="1">
      <alignment horizontal="center"/>
    </xf>
    <xf numFmtId="3" fontId="14" fillId="3" borderId="44" xfId="0" applyNumberFormat="1" applyFont="1" applyFill="1" applyBorder="1" applyAlignment="1">
      <alignment horizontal="center" vertical="center"/>
    </xf>
    <xf numFmtId="3" fontId="14" fillId="3" borderId="21" xfId="0" applyNumberFormat="1" applyFont="1" applyFill="1" applyBorder="1" applyAlignment="1">
      <alignment horizontal="center" vertical="center"/>
    </xf>
    <xf numFmtId="3" fontId="14" fillId="3" borderId="24" xfId="0" applyNumberFormat="1" applyFont="1" applyFill="1" applyBorder="1" applyAlignment="1">
      <alignment horizontal="center" vertical="center"/>
    </xf>
    <xf numFmtId="3" fontId="14" fillId="3" borderId="22" xfId="0" applyNumberFormat="1" applyFont="1" applyFill="1" applyBorder="1" applyAlignment="1">
      <alignment horizontal="center" vertical="center"/>
    </xf>
    <xf numFmtId="0" fontId="32" fillId="6" borderId="53" xfId="0" applyFont="1" applyFill="1" applyBorder="1" applyAlignment="1">
      <alignment horizontal="center" vertical="center" wrapText="1"/>
    </xf>
    <xf numFmtId="0" fontId="12" fillId="3" borderId="60" xfId="0" applyFont="1" applyFill="1" applyBorder="1" applyAlignment="1">
      <alignment horizontal="center" vertical="center" wrapText="1"/>
    </xf>
    <xf numFmtId="0" fontId="12" fillId="4" borderId="57" xfId="0" applyNumberFormat="1" applyFont="1" applyFill="1" applyBorder="1" applyAlignment="1">
      <alignment horizontal="center" vertical="center"/>
    </xf>
    <xf numFmtId="0" fontId="14" fillId="4" borderId="62" xfId="0" applyFont="1" applyFill="1" applyBorder="1" applyAlignment="1">
      <alignment horizontal="center" wrapText="1"/>
    </xf>
    <xf numFmtId="4" fontId="12" fillId="3" borderId="49" xfId="0" applyNumberFormat="1" applyFont="1" applyFill="1" applyBorder="1" applyAlignment="1">
      <alignment horizontal="center" vertical="center" wrapText="1"/>
    </xf>
    <xf numFmtId="4" fontId="12" fillId="3" borderId="50" xfId="0" applyNumberFormat="1" applyFont="1" applyFill="1" applyBorder="1" applyAlignment="1">
      <alignment horizontal="center" vertical="center" wrapText="1"/>
    </xf>
    <xf numFmtId="4" fontId="12" fillId="3" borderId="46" xfId="0" applyNumberFormat="1" applyFont="1" applyFill="1" applyBorder="1" applyAlignment="1">
      <alignment horizontal="center" vertical="center" wrapText="1"/>
    </xf>
    <xf numFmtId="0" fontId="11" fillId="3" borderId="0" xfId="0" applyFont="1" applyFill="1" applyBorder="1" applyAlignment="1">
      <alignment horizontal="center" vertical="center" wrapText="1"/>
    </xf>
    <xf numFmtId="3" fontId="11" fillId="0" borderId="0" xfId="0" applyNumberFormat="1" applyFont="1" applyBorder="1" applyAlignment="1">
      <alignment horizontal="center"/>
    </xf>
    <xf numFmtId="0" fontId="11" fillId="0" borderId="0" xfId="0" applyFont="1" applyBorder="1" applyAlignment="1">
      <alignment horizontal="center"/>
    </xf>
    <xf numFmtId="4" fontId="11" fillId="0" borderId="0" xfId="0" applyNumberFormat="1" applyFont="1" applyBorder="1" applyAlignment="1">
      <alignment horizontal="center"/>
    </xf>
    <xf numFmtId="0" fontId="37" fillId="0" borderId="0" xfId="0" applyFont="1"/>
    <xf numFmtId="0" fontId="0" fillId="3" borderId="0" xfId="0" applyFill="1" applyAlignment="1">
      <alignment horizontal="center"/>
    </xf>
    <xf numFmtId="14" fontId="14" fillId="3" borderId="0" xfId="0" applyNumberFormat="1" applyFont="1" applyFill="1" applyBorder="1" applyAlignment="1"/>
    <xf numFmtId="4" fontId="14" fillId="3" borderId="0" xfId="0" applyNumberFormat="1" applyFont="1" applyFill="1" applyBorder="1" applyAlignment="1">
      <alignment horizontal="left"/>
    </xf>
    <xf numFmtId="0" fontId="14" fillId="0" borderId="0" xfId="0" applyFont="1" applyAlignment="1">
      <alignment horizontal="center"/>
    </xf>
    <xf numFmtId="0" fontId="14" fillId="3" borderId="28" xfId="0" applyFont="1" applyFill="1" applyBorder="1" applyAlignment="1">
      <alignment horizontal="left"/>
    </xf>
    <xf numFmtId="0" fontId="14" fillId="3" borderId="29" xfId="0" applyFont="1" applyFill="1" applyBorder="1" applyAlignment="1">
      <alignment horizontal="left"/>
    </xf>
    <xf numFmtId="3" fontId="14" fillId="3" borderId="2" xfId="0" applyNumberFormat="1" applyFont="1" applyFill="1" applyBorder="1" applyAlignment="1">
      <alignment horizontal="center" vertical="center"/>
    </xf>
    <xf numFmtId="3" fontId="14" fillId="3" borderId="45" xfId="0" applyNumberFormat="1" applyFont="1" applyFill="1" applyBorder="1" applyAlignment="1">
      <alignment horizontal="center" vertical="center"/>
    </xf>
    <xf numFmtId="3" fontId="14" fillId="3" borderId="27" xfId="0" applyNumberFormat="1" applyFont="1" applyFill="1" applyBorder="1" applyAlignment="1">
      <alignment horizontal="center"/>
    </xf>
    <xf numFmtId="3" fontId="14" fillId="3" borderId="19" xfId="0" applyNumberFormat="1" applyFont="1" applyFill="1" applyBorder="1" applyAlignment="1">
      <alignment horizontal="center" vertical="center"/>
    </xf>
    <xf numFmtId="3" fontId="14" fillId="3" borderId="20" xfId="0" applyNumberFormat="1" applyFont="1" applyFill="1" applyBorder="1" applyAlignment="1">
      <alignment horizontal="center" vertical="center"/>
    </xf>
    <xf numFmtId="3" fontId="14" fillId="3" borderId="29" xfId="0" applyNumberFormat="1" applyFont="1" applyFill="1" applyBorder="1" applyAlignment="1">
      <alignment horizontal="center" vertical="center"/>
    </xf>
    <xf numFmtId="3" fontId="14" fillId="3" borderId="30" xfId="0" applyNumberFormat="1" applyFont="1" applyFill="1" applyBorder="1" applyAlignment="1">
      <alignment horizontal="center" vertical="center"/>
    </xf>
    <xf numFmtId="3" fontId="14" fillId="3" borderId="0" xfId="0" applyNumberFormat="1" applyFont="1" applyFill="1" applyBorder="1" applyAlignment="1">
      <alignment horizontal="center" vertical="center"/>
    </xf>
    <xf numFmtId="0" fontId="32" fillId="0" borderId="46" xfId="0" applyNumberFormat="1" applyFont="1" applyBorder="1" applyAlignment="1">
      <alignment horizontal="center"/>
    </xf>
    <xf numFmtId="0" fontId="14" fillId="0" borderId="49" xfId="0" applyNumberFormat="1" applyFont="1" applyBorder="1" applyAlignment="1">
      <alignment horizontal="center"/>
    </xf>
    <xf numFmtId="0" fontId="14" fillId="0" borderId="41" xfId="0" applyNumberFormat="1" applyFont="1" applyBorder="1" applyAlignment="1">
      <alignment horizontal="center"/>
    </xf>
    <xf numFmtId="0" fontId="3" fillId="0" borderId="0" xfId="0" applyFont="1" applyAlignment="1">
      <alignment wrapText="1"/>
    </xf>
    <xf numFmtId="167" fontId="25" fillId="3" borderId="0" xfId="0" applyNumberFormat="1" applyFont="1" applyFill="1" applyAlignment="1">
      <alignment horizontal="center"/>
    </xf>
    <xf numFmtId="0" fontId="14" fillId="4" borderId="4" xfId="0" applyFont="1" applyFill="1" applyBorder="1" applyAlignment="1">
      <alignment horizontal="center"/>
    </xf>
    <xf numFmtId="4" fontId="14" fillId="0" borderId="4" xfId="0" applyNumberFormat="1" applyFont="1" applyBorder="1" applyAlignment="1">
      <alignment horizontal="center"/>
    </xf>
    <xf numFmtId="4" fontId="14" fillId="0" borderId="6" xfId="0" applyNumberFormat="1" applyFont="1" applyBorder="1" applyAlignment="1">
      <alignment horizontal="center"/>
    </xf>
    <xf numFmtId="4" fontId="14" fillId="0" borderId="5" xfId="0" applyNumberFormat="1" applyFont="1" applyBorder="1" applyAlignment="1">
      <alignment horizontal="center"/>
    </xf>
    <xf numFmtId="4" fontId="14" fillId="0" borderId="7" xfId="0" applyNumberFormat="1" applyFont="1" applyBorder="1" applyAlignment="1">
      <alignment horizontal="center"/>
    </xf>
    <xf numFmtId="4" fontId="14" fillId="0" borderId="37" xfId="0" applyNumberFormat="1" applyFont="1" applyBorder="1" applyAlignment="1">
      <alignment horizontal="center"/>
    </xf>
    <xf numFmtId="4" fontId="14" fillId="0" borderId="1" xfId="0" applyNumberFormat="1" applyFont="1" applyBorder="1" applyAlignment="1">
      <alignment horizontal="center"/>
    </xf>
    <xf numFmtId="4" fontId="14" fillId="0" borderId="8" xfId="0" applyNumberFormat="1" applyFont="1" applyBorder="1" applyAlignment="1">
      <alignment horizontal="center"/>
    </xf>
    <xf numFmtId="0" fontId="14" fillId="4" borderId="9" xfId="0" applyFont="1" applyFill="1" applyBorder="1" applyAlignment="1">
      <alignment horizontal="center"/>
    </xf>
    <xf numFmtId="4" fontId="14" fillId="0" borderId="9" xfId="0" applyNumberFormat="1" applyFont="1" applyBorder="1" applyAlignment="1">
      <alignment horizontal="center"/>
    </xf>
    <xf numFmtId="4" fontId="14" fillId="0" borderId="55" xfId="0" applyNumberFormat="1" applyFont="1" applyBorder="1" applyAlignment="1">
      <alignment horizontal="center"/>
    </xf>
    <xf numFmtId="4" fontId="14" fillId="0" borderId="10" xfId="0" applyNumberFormat="1" applyFont="1" applyBorder="1" applyAlignment="1">
      <alignment horizontal="center"/>
    </xf>
    <xf numFmtId="4" fontId="14" fillId="0" borderId="11" xfId="0" applyNumberFormat="1" applyFont="1" applyBorder="1" applyAlignment="1">
      <alignment horizontal="center"/>
    </xf>
    <xf numFmtId="3" fontId="14" fillId="0" borderId="33" xfId="0" applyNumberFormat="1" applyFont="1" applyBorder="1" applyAlignment="1">
      <alignment horizontal="center"/>
    </xf>
    <xf numFmtId="0" fontId="14" fillId="0" borderId="39" xfId="0" applyFont="1" applyBorder="1" applyAlignment="1">
      <alignment horizontal="center"/>
    </xf>
    <xf numFmtId="3" fontId="14" fillId="0" borderId="38" xfId="0" applyNumberFormat="1" applyFont="1" applyBorder="1" applyAlignment="1">
      <alignment horizontal="center"/>
    </xf>
    <xf numFmtId="2" fontId="14" fillId="0" borderId="39" xfId="0" applyNumberFormat="1" applyFont="1" applyBorder="1" applyAlignment="1">
      <alignment horizontal="center"/>
    </xf>
    <xf numFmtId="3" fontId="14" fillId="0" borderId="3" xfId="0" applyNumberFormat="1" applyFont="1" applyBorder="1" applyAlignment="1">
      <alignment horizontal="center"/>
    </xf>
    <xf numFmtId="3" fontId="14" fillId="0" borderId="7" xfId="0" applyNumberFormat="1" applyFont="1" applyBorder="1" applyAlignment="1">
      <alignment horizontal="center"/>
    </xf>
    <xf numFmtId="2" fontId="14" fillId="0" borderId="1" xfId="0" applyNumberFormat="1" applyFont="1" applyBorder="1" applyAlignment="1">
      <alignment horizontal="center"/>
    </xf>
    <xf numFmtId="0" fontId="14" fillId="0" borderId="1" xfId="0" applyFont="1" applyBorder="1" applyAlignment="1">
      <alignment horizontal="center"/>
    </xf>
    <xf numFmtId="3" fontId="14" fillId="0" borderId="18" xfId="0" applyNumberFormat="1" applyFont="1" applyBorder="1" applyAlignment="1">
      <alignment horizontal="center"/>
    </xf>
    <xf numFmtId="0" fontId="14" fillId="0" borderId="10" xfId="0" applyFont="1" applyBorder="1" applyAlignment="1">
      <alignment horizontal="center"/>
    </xf>
    <xf numFmtId="3" fontId="14" fillId="0" borderId="9" xfId="0" applyNumberFormat="1" applyFont="1" applyBorder="1" applyAlignment="1">
      <alignment horizontal="center"/>
    </xf>
    <xf numFmtId="2" fontId="14" fillId="0" borderId="10" xfId="0" applyNumberFormat="1" applyFont="1" applyBorder="1" applyAlignment="1">
      <alignment horizontal="center"/>
    </xf>
    <xf numFmtId="0" fontId="14" fillId="4" borderId="62" xfId="0" applyFont="1" applyFill="1" applyBorder="1" applyAlignment="1">
      <alignment horizontal="center"/>
    </xf>
    <xf numFmtId="4" fontId="32" fillId="0" borderId="45" xfId="0" applyNumberFormat="1" applyFont="1" applyBorder="1" applyAlignment="1">
      <alignment horizontal="center"/>
    </xf>
    <xf numFmtId="4" fontId="32" fillId="0" borderId="22" xfId="0" applyNumberFormat="1" applyFont="1" applyBorder="1" applyAlignment="1">
      <alignment horizontal="center"/>
    </xf>
    <xf numFmtId="4" fontId="14" fillId="0" borderId="31" xfId="0" applyNumberFormat="1" applyFont="1" applyBorder="1" applyAlignment="1">
      <alignment horizontal="center"/>
    </xf>
    <xf numFmtId="4" fontId="14" fillId="0" borderId="57" xfId="0" applyNumberFormat="1" applyFont="1" applyBorder="1" applyAlignment="1">
      <alignment horizontal="center"/>
    </xf>
    <xf numFmtId="4" fontId="14" fillId="0" borderId="62" xfId="0" applyNumberFormat="1" applyFont="1" applyBorder="1" applyAlignment="1">
      <alignment horizontal="center"/>
    </xf>
    <xf numFmtId="4" fontId="14" fillId="0" borderId="50" xfId="0" applyNumberFormat="1" applyFont="1" applyBorder="1" applyAlignment="1">
      <alignment horizontal="center"/>
    </xf>
    <xf numFmtId="4" fontId="14" fillId="0" borderId="41" xfId="0" applyNumberFormat="1" applyFont="1" applyBorder="1" applyAlignment="1">
      <alignment horizontal="center"/>
    </xf>
    <xf numFmtId="2" fontId="14" fillId="0" borderId="53" xfId="0" applyNumberFormat="1" applyFont="1" applyBorder="1" applyAlignment="1">
      <alignment horizontal="center"/>
    </xf>
    <xf numFmtId="0" fontId="14" fillId="3" borderId="34" xfId="0" applyFont="1" applyFill="1" applyBorder="1" applyAlignment="1">
      <alignment horizontal="left" vertical="center"/>
    </xf>
    <xf numFmtId="0" fontId="14" fillId="3" borderId="2" xfId="0" applyFont="1" applyFill="1" applyBorder="1" applyAlignment="1">
      <alignment horizontal="left" vertical="center"/>
    </xf>
    <xf numFmtId="0" fontId="14" fillId="3" borderId="45" xfId="0" applyFont="1" applyFill="1" applyBorder="1" applyAlignment="1">
      <alignment horizontal="left" vertical="center"/>
    </xf>
    <xf numFmtId="0" fontId="14" fillId="3" borderId="2" xfId="0" applyFont="1" applyFill="1" applyBorder="1" applyAlignment="1">
      <alignment horizontal="center" vertical="center"/>
    </xf>
    <xf numFmtId="0" fontId="14" fillId="3" borderId="30" xfId="0" applyFont="1" applyFill="1" applyBorder="1" applyAlignment="1">
      <alignment horizontal="left"/>
    </xf>
    <xf numFmtId="0" fontId="14" fillId="3" borderId="29" xfId="0" applyFont="1" applyFill="1" applyBorder="1" applyAlignment="1">
      <alignment horizontal="center"/>
    </xf>
    <xf numFmtId="4" fontId="14" fillId="3" borderId="28" xfId="0" applyNumberFormat="1" applyFont="1" applyFill="1" applyBorder="1" applyAlignment="1">
      <alignment horizontal="center" vertical="center"/>
    </xf>
    <xf numFmtId="4" fontId="14" fillId="3" borderId="30" xfId="0" applyNumberFormat="1" applyFont="1" applyFill="1" applyBorder="1" applyAlignment="1">
      <alignment horizontal="center" vertical="center"/>
    </xf>
    <xf numFmtId="4" fontId="14" fillId="3" borderId="34" xfId="0" applyNumberFormat="1" applyFont="1" applyFill="1" applyBorder="1" applyAlignment="1">
      <alignment horizontal="center" vertical="center"/>
    </xf>
    <xf numFmtId="4" fontId="14" fillId="3" borderId="45" xfId="0" applyNumberFormat="1" applyFont="1" applyFill="1" applyBorder="1" applyAlignment="1">
      <alignment horizontal="center" vertical="center"/>
    </xf>
    <xf numFmtId="0" fontId="14" fillId="3" borderId="48" xfId="0" applyFont="1" applyFill="1" applyBorder="1" applyAlignment="1">
      <alignment horizontal="center"/>
    </xf>
    <xf numFmtId="4" fontId="14" fillId="3" borderId="21" xfId="0" applyNumberFormat="1" applyFont="1" applyFill="1" applyBorder="1" applyAlignment="1">
      <alignment horizontal="center" vertical="center"/>
    </xf>
    <xf numFmtId="4" fontId="14" fillId="3" borderId="22" xfId="0" applyNumberFormat="1" applyFont="1" applyFill="1" applyBorder="1" applyAlignment="1">
      <alignment horizontal="center" vertical="center"/>
    </xf>
    <xf numFmtId="0" fontId="14" fillId="4" borderId="13" xfId="0" applyFont="1" applyFill="1" applyBorder="1" applyAlignment="1">
      <alignment horizontal="center" wrapText="1"/>
    </xf>
    <xf numFmtId="0" fontId="14" fillId="4" borderId="14" xfId="0" applyFont="1" applyFill="1" applyBorder="1" applyAlignment="1">
      <alignment horizontal="center" wrapText="1"/>
    </xf>
    <xf numFmtId="0" fontId="14" fillId="4" borderId="15" xfId="0" applyFont="1" applyFill="1" applyBorder="1" applyAlignment="1">
      <alignment horizontal="center" wrapText="1"/>
    </xf>
    <xf numFmtId="4" fontId="14" fillId="3" borderId="56" xfId="0" applyNumberFormat="1" applyFont="1" applyFill="1" applyBorder="1" applyAlignment="1">
      <alignment horizontal="center"/>
    </xf>
    <xf numFmtId="4" fontId="14" fillId="0" borderId="27" xfId="0" applyNumberFormat="1" applyFont="1" applyBorder="1" applyAlignment="1">
      <alignment horizontal="center"/>
    </xf>
    <xf numFmtId="4" fontId="14" fillId="0" borderId="49" xfId="0" applyNumberFormat="1" applyFont="1" applyBorder="1" applyAlignment="1">
      <alignment horizontal="center"/>
    </xf>
    <xf numFmtId="0" fontId="14" fillId="4" borderId="33" xfId="0" applyFont="1" applyFill="1" applyBorder="1" applyAlignment="1">
      <alignment horizontal="center"/>
    </xf>
    <xf numFmtId="4" fontId="14" fillId="0" borderId="40" xfId="0" applyNumberFormat="1" applyFont="1" applyBorder="1" applyAlignment="1">
      <alignment horizontal="right"/>
    </xf>
    <xf numFmtId="4" fontId="14" fillId="0" borderId="62" xfId="0" applyNumberFormat="1" applyFont="1" applyBorder="1" applyAlignment="1">
      <alignment horizontal="right"/>
    </xf>
    <xf numFmtId="4" fontId="14" fillId="0" borderId="33" xfId="0" applyNumberFormat="1" applyFont="1" applyBorder="1" applyAlignment="1">
      <alignment horizontal="right"/>
    </xf>
    <xf numFmtId="4" fontId="14" fillId="0" borderId="39" xfId="0" applyNumberFormat="1" applyFont="1" applyBorder="1" applyAlignment="1">
      <alignment horizontal="right"/>
    </xf>
    <xf numFmtId="4" fontId="14" fillId="0" borderId="46" xfId="0" applyNumberFormat="1" applyFont="1" applyBorder="1" applyAlignment="1">
      <alignment horizontal="right"/>
    </xf>
    <xf numFmtId="4" fontId="14" fillId="0" borderId="35" xfId="0" applyNumberFormat="1" applyFont="1" applyBorder="1" applyAlignment="1">
      <alignment horizontal="right"/>
    </xf>
    <xf numFmtId="4" fontId="14" fillId="0" borderId="50" xfId="0" applyNumberFormat="1" applyFont="1" applyBorder="1" applyAlignment="1">
      <alignment horizontal="right"/>
    </xf>
    <xf numFmtId="4" fontId="14" fillId="0" borderId="18" xfId="0" applyNumberFormat="1" applyFont="1" applyBorder="1" applyAlignment="1">
      <alignment horizontal="right"/>
    </xf>
    <xf numFmtId="4" fontId="14" fillId="0" borderId="25" xfId="0" applyNumberFormat="1" applyFont="1" applyBorder="1" applyAlignment="1">
      <alignment horizontal="right"/>
    </xf>
    <xf numFmtId="4" fontId="14" fillId="0" borderId="26" xfId="0" applyNumberFormat="1" applyFont="1" applyBorder="1" applyAlignment="1">
      <alignment horizontal="right"/>
    </xf>
    <xf numFmtId="4" fontId="14" fillId="0" borderId="5" xfId="0" applyNumberFormat="1" applyFont="1" applyBorder="1" applyAlignment="1">
      <alignment horizontal="right"/>
    </xf>
    <xf numFmtId="0" fontId="32" fillId="4" borderId="33" xfId="0" applyFont="1" applyFill="1" applyBorder="1" applyAlignment="1">
      <alignment horizontal="center"/>
    </xf>
    <xf numFmtId="0" fontId="32" fillId="4" borderId="26" xfId="0" applyFont="1" applyFill="1" applyBorder="1" applyAlignment="1">
      <alignment horizontal="center"/>
    </xf>
    <xf numFmtId="4" fontId="32" fillId="0" borderId="40" xfId="0" applyNumberFormat="1" applyFont="1" applyBorder="1" applyAlignment="1">
      <alignment horizontal="right"/>
    </xf>
    <xf numFmtId="4" fontId="32" fillId="0" borderId="33" xfId="0" applyNumberFormat="1" applyFont="1" applyBorder="1" applyAlignment="1">
      <alignment horizontal="right"/>
    </xf>
    <xf numFmtId="4" fontId="14" fillId="0" borderId="6" xfId="0" applyNumberFormat="1" applyFont="1" applyBorder="1"/>
    <xf numFmtId="4" fontId="14" fillId="3" borderId="13" xfId="0" applyNumberFormat="1" applyFont="1" applyFill="1" applyBorder="1" applyAlignment="1">
      <alignment horizontal="center"/>
    </xf>
    <xf numFmtId="4" fontId="14" fillId="3" borderId="62" xfId="0" applyNumberFormat="1" applyFont="1" applyFill="1" applyBorder="1" applyAlignment="1">
      <alignment horizontal="center"/>
    </xf>
    <xf numFmtId="4" fontId="14" fillId="3" borderId="50" xfId="0" applyNumberFormat="1" applyFont="1" applyFill="1" applyBorder="1" applyAlignment="1">
      <alignment horizontal="center"/>
    </xf>
    <xf numFmtId="2" fontId="12" fillId="0" borderId="0" xfId="0" applyNumberFormat="1" applyFont="1" applyBorder="1" applyAlignment="1">
      <alignment horizontal="center" vertical="center" wrapText="1"/>
    </xf>
    <xf numFmtId="4" fontId="12" fillId="0" borderId="62" xfId="0" applyNumberFormat="1" applyFont="1" applyBorder="1" applyAlignment="1">
      <alignment horizontal="center" vertical="center" wrapText="1"/>
    </xf>
    <xf numFmtId="4" fontId="12" fillId="0" borderId="49" xfId="0" applyNumberFormat="1" applyFont="1" applyBorder="1" applyAlignment="1">
      <alignment horizontal="center" vertical="center" wrapText="1"/>
    </xf>
    <xf numFmtId="4" fontId="12" fillId="0" borderId="50" xfId="0" applyNumberFormat="1" applyFont="1" applyBorder="1" applyAlignment="1">
      <alignment horizontal="center" vertical="center" wrapText="1"/>
    </xf>
    <xf numFmtId="0" fontId="13" fillId="4" borderId="41" xfId="0" applyFont="1" applyFill="1" applyBorder="1" applyAlignment="1">
      <alignment horizontal="center" vertical="center" wrapText="1"/>
    </xf>
    <xf numFmtId="0" fontId="10" fillId="3" borderId="0" xfId="0" applyFont="1" applyFill="1" applyBorder="1" applyAlignment="1">
      <alignment vertical="center"/>
    </xf>
    <xf numFmtId="14" fontId="12" fillId="3" borderId="7" xfId="0" applyNumberFormat="1" applyFont="1" applyFill="1" applyBorder="1" applyAlignment="1">
      <alignment horizontal="center"/>
    </xf>
    <xf numFmtId="14" fontId="18" fillId="0" borderId="7" xfId="0" applyNumberFormat="1" applyFont="1" applyBorder="1" applyAlignment="1">
      <alignment horizontal="center"/>
    </xf>
    <xf numFmtId="3" fontId="14" fillId="0" borderId="14" xfId="0" quotePrefix="1" applyNumberFormat="1" applyFont="1" applyBorder="1" applyAlignment="1">
      <alignment horizontal="center"/>
    </xf>
    <xf numFmtId="3" fontId="14" fillId="0" borderId="47" xfId="0" quotePrefix="1" applyNumberFormat="1" applyFont="1" applyBorder="1" applyAlignment="1">
      <alignment horizontal="center"/>
    </xf>
    <xf numFmtId="3" fontId="14" fillId="0" borderId="48" xfId="0" quotePrefix="1" applyNumberFormat="1" applyFont="1" applyBorder="1" applyAlignment="1">
      <alignment horizontal="center"/>
    </xf>
    <xf numFmtId="0" fontId="39" fillId="0" borderId="0" xfId="709"/>
    <xf numFmtId="4" fontId="39" fillId="0" borderId="0" xfId="709" applyNumberFormat="1"/>
    <xf numFmtId="2" fontId="39" fillId="0" borderId="0" xfId="709" applyNumberFormat="1"/>
    <xf numFmtId="0" fontId="39" fillId="4" borderId="49" xfId="709" applyFill="1" applyBorder="1" applyAlignment="1">
      <alignment horizontal="center"/>
    </xf>
    <xf numFmtId="0" fontId="39" fillId="4" borderId="50" xfId="709" applyFill="1" applyBorder="1" applyAlignment="1">
      <alignment horizontal="center"/>
    </xf>
    <xf numFmtId="0" fontId="14" fillId="4" borderId="43" xfId="0" applyFont="1" applyFill="1" applyBorder="1" applyAlignment="1">
      <alignment horizontal="center"/>
    </xf>
    <xf numFmtId="4" fontId="39" fillId="3" borderId="0" xfId="709" applyNumberFormat="1" applyFill="1" applyBorder="1" applyAlignment="1">
      <alignment horizontal="center" vertical="center"/>
    </xf>
    <xf numFmtId="4" fontId="39" fillId="3" borderId="0" xfId="709" applyNumberFormat="1" applyFill="1" applyBorder="1" applyAlignment="1">
      <alignment vertical="center"/>
    </xf>
    <xf numFmtId="4" fontId="14" fillId="0" borderId="46" xfId="0" applyNumberFormat="1" applyFont="1" applyBorder="1" applyAlignment="1">
      <alignment horizontal="center"/>
    </xf>
    <xf numFmtId="4" fontId="14" fillId="0" borderId="43" xfId="0" applyNumberFormat="1" applyFont="1" applyBorder="1" applyAlignment="1">
      <alignment horizontal="center"/>
    </xf>
    <xf numFmtId="4" fontId="14" fillId="0" borderId="21" xfId="0" applyNumberFormat="1" applyFont="1" applyBorder="1" applyAlignment="1">
      <alignment horizontal="center"/>
    </xf>
    <xf numFmtId="4" fontId="14" fillId="0" borderId="0" xfId="0" applyNumberFormat="1" applyFont="1" applyBorder="1" applyAlignment="1">
      <alignment horizontal="center"/>
    </xf>
    <xf numFmtId="0" fontId="39" fillId="0" borderId="0" xfId="709" applyFont="1" applyBorder="1"/>
    <xf numFmtId="0" fontId="39" fillId="0" borderId="0" xfId="709" applyBorder="1"/>
    <xf numFmtId="4" fontId="39" fillId="0" borderId="0" xfId="709" applyNumberFormat="1" applyBorder="1"/>
    <xf numFmtId="2" fontId="39" fillId="0" borderId="0" xfId="709" applyNumberFormat="1" applyBorder="1"/>
    <xf numFmtId="0" fontId="41" fillId="0" borderId="0" xfId="709" applyFont="1" applyBorder="1"/>
    <xf numFmtId="0" fontId="41" fillId="0" borderId="0" xfId="709" applyFont="1" applyBorder="1" applyAlignment="1">
      <alignment horizontal="center"/>
    </xf>
    <xf numFmtId="166" fontId="39" fillId="0" borderId="0" xfId="709" applyNumberFormat="1" applyBorder="1" applyAlignment="1">
      <alignment horizontal="center"/>
    </xf>
    <xf numFmtId="166" fontId="39" fillId="0" borderId="0" xfId="709" applyNumberFormat="1" applyBorder="1"/>
    <xf numFmtId="0" fontId="42" fillId="0" borderId="0" xfId="709" applyFont="1"/>
    <xf numFmtId="169" fontId="42" fillId="0" borderId="0" xfId="775" applyFont="1"/>
    <xf numFmtId="0" fontId="42" fillId="0" borderId="0" xfId="709" applyFont="1" applyAlignment="1">
      <alignment horizontal="left"/>
    </xf>
    <xf numFmtId="0" fontId="38" fillId="0" borderId="0" xfId="709" applyFont="1" applyBorder="1" applyAlignment="1">
      <alignment horizontal="center"/>
    </xf>
    <xf numFmtId="168" fontId="38" fillId="0" borderId="0" xfId="773" applyFont="1" applyBorder="1" applyAlignment="1">
      <alignment horizontal="justify" wrapText="1"/>
    </xf>
    <xf numFmtId="0" fontId="14" fillId="4" borderId="47" xfId="0" applyFont="1" applyFill="1" applyBorder="1" applyAlignment="1">
      <alignment vertical="center" wrapText="1" shrinkToFit="1"/>
    </xf>
    <xf numFmtId="0" fontId="14" fillId="4" borderId="48" xfId="0" applyFont="1" applyFill="1" applyBorder="1" applyAlignment="1">
      <alignment vertical="center" wrapText="1" shrinkToFit="1"/>
    </xf>
    <xf numFmtId="0" fontId="14" fillId="4" borderId="27" xfId="0" applyFont="1" applyFill="1" applyBorder="1" applyAlignment="1">
      <alignment vertical="center" wrapText="1" shrinkToFit="1"/>
    </xf>
    <xf numFmtId="0" fontId="14" fillId="4" borderId="27" xfId="0" applyFont="1" applyFill="1" applyBorder="1" applyAlignment="1">
      <alignment horizontal="left" vertical="center" wrapText="1" shrinkToFit="1"/>
    </xf>
    <xf numFmtId="168" fontId="14" fillId="0" borderId="0" xfId="773" applyFont="1"/>
    <xf numFmtId="0" fontId="38" fillId="0" borderId="0" xfId="709" applyFont="1"/>
    <xf numFmtId="168" fontId="38" fillId="0" borderId="0" xfId="773" applyFont="1"/>
    <xf numFmtId="0" fontId="47" fillId="0" borderId="0" xfId="709" applyFont="1"/>
    <xf numFmtId="4" fontId="38" fillId="0" borderId="0" xfId="709" applyNumberFormat="1" applyFont="1"/>
    <xf numFmtId="0" fontId="38" fillId="4" borderId="51" xfId="709" applyFont="1" applyFill="1" applyBorder="1"/>
    <xf numFmtId="0" fontId="38" fillId="4" borderId="52" xfId="709" applyFont="1" applyFill="1" applyBorder="1"/>
    <xf numFmtId="0" fontId="38" fillId="4" borderId="53" xfId="709" applyFont="1" applyFill="1" applyBorder="1"/>
    <xf numFmtId="0" fontId="14" fillId="4" borderId="36" xfId="0" applyFont="1" applyFill="1" applyBorder="1" applyAlignment="1">
      <alignment vertical="center" wrapText="1" shrinkToFit="1"/>
    </xf>
    <xf numFmtId="168" fontId="38" fillId="3" borderId="0" xfId="773" applyFont="1" applyFill="1" applyBorder="1" applyAlignment="1">
      <alignment horizontal="justify" wrapText="1"/>
    </xf>
    <xf numFmtId="0" fontId="38" fillId="3" borderId="0" xfId="709" applyFont="1" applyFill="1" applyBorder="1" applyAlignment="1">
      <alignment horizontal="center" vertical="top" wrapText="1"/>
    </xf>
    <xf numFmtId="0" fontId="38" fillId="3" borderId="19" xfId="709" applyFont="1" applyFill="1" applyBorder="1" applyAlignment="1">
      <alignment horizontal="center" vertical="top" wrapText="1"/>
    </xf>
    <xf numFmtId="0" fontId="14" fillId="3" borderId="0" xfId="0" applyFont="1" applyFill="1" applyBorder="1" applyAlignment="1">
      <alignment vertical="center" wrapText="1" shrinkToFit="1"/>
    </xf>
    <xf numFmtId="0" fontId="42" fillId="4" borderId="48" xfId="709" applyFont="1" applyFill="1" applyBorder="1" applyAlignment="1"/>
    <xf numFmtId="0" fontId="38" fillId="4" borderId="50" xfId="709" applyFont="1" applyFill="1" applyBorder="1" applyAlignment="1">
      <alignment horizontal="center" vertical="top" wrapText="1"/>
    </xf>
    <xf numFmtId="0" fontId="49" fillId="0" borderId="0" xfId="709" applyFont="1" applyAlignment="1">
      <alignment horizontal="center" wrapText="1"/>
    </xf>
    <xf numFmtId="0" fontId="49" fillId="0" borderId="0" xfId="709" applyFont="1" applyAlignment="1">
      <alignment horizontal="center" wrapText="1"/>
    </xf>
    <xf numFmtId="0" fontId="14" fillId="4" borderId="47" xfId="0" applyFont="1" applyFill="1" applyBorder="1" applyAlignment="1">
      <alignment horizontal="left" vertical="center" wrapText="1" shrinkToFit="1"/>
    </xf>
    <xf numFmtId="0" fontId="39" fillId="3" borderId="0" xfId="709" applyFill="1" applyBorder="1"/>
    <xf numFmtId="4" fontId="38" fillId="0" borderId="0" xfId="709" applyNumberFormat="1" applyFont="1" applyBorder="1" applyAlignment="1">
      <alignment horizontal="justify" wrapText="1"/>
    </xf>
    <xf numFmtId="2" fontId="38" fillId="0" borderId="0" xfId="709" applyNumberFormat="1" applyFont="1" applyBorder="1" applyAlignment="1">
      <alignment horizontal="right" wrapText="1"/>
    </xf>
    <xf numFmtId="4" fontId="38" fillId="0" borderId="0" xfId="709" applyNumberFormat="1" applyFont="1" applyBorder="1" applyAlignment="1">
      <alignment horizontal="right" wrapText="1"/>
    </xf>
    <xf numFmtId="2" fontId="14" fillId="0" borderId="0" xfId="0" applyNumberFormat="1" applyFont="1" applyBorder="1" applyAlignment="1">
      <alignment horizontal="center"/>
    </xf>
    <xf numFmtId="0" fontId="42" fillId="3" borderId="0" xfId="709" applyFont="1" applyFill="1" applyBorder="1" applyAlignment="1"/>
    <xf numFmtId="0" fontId="14" fillId="4" borderId="36" xfId="0" applyFont="1" applyFill="1" applyBorder="1" applyAlignment="1">
      <alignment horizontal="left" vertical="center" wrapText="1" shrinkToFit="1"/>
    </xf>
    <xf numFmtId="0" fontId="14" fillId="3" borderId="0" xfId="0" applyFont="1" applyFill="1" applyBorder="1" applyAlignment="1">
      <alignment horizontal="left" vertical="center" wrapText="1" shrinkToFit="1"/>
    </xf>
    <xf numFmtId="4" fontId="14" fillId="3" borderId="0" xfId="0" applyNumberFormat="1" applyFont="1" applyFill="1" applyBorder="1" applyAlignment="1">
      <alignment horizontal="center"/>
    </xf>
    <xf numFmtId="2" fontId="14" fillId="3" borderId="0" xfId="0" applyNumberFormat="1" applyFont="1" applyFill="1" applyBorder="1" applyAlignment="1">
      <alignment horizontal="center"/>
    </xf>
    <xf numFmtId="0" fontId="38" fillId="3" borderId="0" xfId="709" applyFont="1" applyFill="1" applyBorder="1"/>
    <xf numFmtId="0" fontId="38" fillId="4" borderId="48" xfId="709" applyFont="1" applyFill="1" applyBorder="1" applyAlignment="1"/>
    <xf numFmtId="0" fontId="38" fillId="4" borderId="56" xfId="709" applyFont="1" applyFill="1" applyBorder="1" applyAlignment="1"/>
    <xf numFmtId="0" fontId="0" fillId="0" borderId="24" xfId="0" applyBorder="1"/>
    <xf numFmtId="0" fontId="0" fillId="0" borderId="21" xfId="0" applyBorder="1"/>
    <xf numFmtId="0" fontId="0" fillId="0" borderId="22" xfId="0" applyBorder="1"/>
    <xf numFmtId="4" fontId="39" fillId="0" borderId="20" xfId="0" applyNumberFormat="1" applyFont="1" applyBorder="1" applyAlignment="1">
      <alignment horizontal="center" vertical="center" wrapText="1"/>
    </xf>
    <xf numFmtId="4" fontId="39" fillId="3" borderId="49" xfId="0" applyNumberFormat="1" applyFont="1" applyFill="1" applyBorder="1" applyAlignment="1">
      <alignment horizontal="center"/>
    </xf>
    <xf numFmtId="4" fontId="39" fillId="0" borderId="20" xfId="0" applyNumberFormat="1" applyFont="1" applyBorder="1" applyAlignment="1">
      <alignment horizontal="center"/>
    </xf>
    <xf numFmtId="4" fontId="39" fillId="0" borderId="49" xfId="0" applyNumberFormat="1" applyFont="1" applyBorder="1" applyAlignment="1">
      <alignment horizontal="center"/>
    </xf>
    <xf numFmtId="10" fontId="3" fillId="0" borderId="0" xfId="0" applyNumberFormat="1" applyFont="1" applyBorder="1"/>
    <xf numFmtId="4" fontId="14" fillId="0" borderId="44" xfId="0" applyNumberFormat="1" applyFont="1" applyBorder="1" applyAlignment="1">
      <alignment horizontal="center"/>
    </xf>
    <xf numFmtId="0" fontId="44" fillId="4" borderId="34" xfId="709" applyFont="1" applyFill="1" applyBorder="1" applyAlignment="1">
      <alignment horizontal="center" vertical="center" wrapText="1"/>
    </xf>
    <xf numFmtId="0" fontId="44" fillId="4" borderId="21" xfId="709" applyFont="1" applyFill="1" applyBorder="1" applyAlignment="1">
      <alignment horizontal="center" vertical="center" wrapText="1"/>
    </xf>
    <xf numFmtId="168" fontId="39" fillId="0" borderId="46" xfId="773" applyFont="1" applyBorder="1" applyAlignment="1">
      <alignment horizontal="center" wrapText="1"/>
    </xf>
    <xf numFmtId="168" fontId="39" fillId="0" borderId="34" xfId="773" applyFont="1" applyBorder="1" applyAlignment="1">
      <alignment horizontal="center" wrapText="1"/>
    </xf>
    <xf numFmtId="168" fontId="39" fillId="0" borderId="49" xfId="773" applyFont="1" applyBorder="1" applyAlignment="1">
      <alignment horizontal="center" wrapText="1"/>
    </xf>
    <xf numFmtId="4" fontId="39" fillId="0" borderId="44" xfId="709" applyNumberFormat="1" applyFont="1" applyBorder="1" applyAlignment="1">
      <alignment horizontal="center" wrapText="1"/>
    </xf>
    <xf numFmtId="2" fontId="39" fillId="0" borderId="49" xfId="709" applyNumberFormat="1" applyFont="1" applyBorder="1" applyAlignment="1">
      <alignment horizontal="center" wrapText="1"/>
    </xf>
    <xf numFmtId="4" fontId="39" fillId="0" borderId="49" xfId="709" applyNumberFormat="1" applyFont="1" applyBorder="1" applyAlignment="1">
      <alignment horizontal="center" wrapText="1"/>
    </xf>
    <xf numFmtId="168" fontId="39" fillId="0" borderId="43" xfId="773" applyFont="1" applyBorder="1" applyAlignment="1">
      <alignment horizontal="center" wrapText="1"/>
    </xf>
    <xf numFmtId="168" fontId="39" fillId="0" borderId="21" xfId="773" applyFont="1" applyBorder="1" applyAlignment="1">
      <alignment horizontal="center" wrapText="1"/>
    </xf>
    <xf numFmtId="168" fontId="39" fillId="0" borderId="50" xfId="773" applyFont="1" applyBorder="1" applyAlignment="1">
      <alignment horizontal="center" wrapText="1"/>
    </xf>
    <xf numFmtId="4" fontId="39" fillId="0" borderId="56" xfId="709" applyNumberFormat="1" applyFont="1" applyBorder="1" applyAlignment="1">
      <alignment horizontal="center" wrapText="1"/>
    </xf>
    <xf numFmtId="2" fontId="39" fillId="0" borderId="50" xfId="709" applyNumberFormat="1" applyFont="1" applyBorder="1" applyAlignment="1">
      <alignment horizontal="center" wrapText="1"/>
    </xf>
    <xf numFmtId="4" fontId="39" fillId="0" borderId="50" xfId="709" applyNumberFormat="1" applyFont="1" applyBorder="1" applyAlignment="1">
      <alignment horizontal="center" wrapText="1"/>
    </xf>
    <xf numFmtId="0" fontId="39" fillId="4" borderId="46" xfId="709" applyFont="1" applyFill="1" applyBorder="1" applyAlignment="1">
      <alignment horizontal="center" vertical="top" wrapText="1"/>
    </xf>
    <xf numFmtId="0" fontId="39" fillId="4" borderId="43" xfId="709" applyFont="1" applyFill="1" applyBorder="1" applyAlignment="1">
      <alignment horizontal="center" vertical="top" wrapText="1"/>
    </xf>
    <xf numFmtId="168" fontId="39" fillId="3" borderId="48" xfId="773" applyFont="1" applyFill="1" applyBorder="1" applyAlignment="1">
      <alignment horizontal="center" vertical="center" wrapText="1"/>
    </xf>
    <xf numFmtId="168" fontId="39" fillId="3" borderId="50" xfId="773" applyFont="1" applyFill="1" applyBorder="1" applyAlignment="1">
      <alignment horizontal="center" vertical="center" wrapText="1"/>
    </xf>
    <xf numFmtId="168" fontId="39" fillId="3" borderId="36" xfId="773" applyFont="1" applyFill="1" applyBorder="1" applyAlignment="1">
      <alignment horizontal="center" vertical="center" wrapText="1"/>
    </xf>
    <xf numFmtId="0" fontId="39" fillId="4" borderId="50" xfId="709" applyFont="1" applyFill="1" applyBorder="1" applyAlignment="1">
      <alignment horizontal="center" vertical="center" wrapText="1"/>
    </xf>
    <xf numFmtId="2" fontId="12" fillId="0" borderId="22" xfId="0" applyNumberFormat="1" applyFont="1" applyBorder="1" applyAlignment="1">
      <alignment horizontal="center"/>
    </xf>
    <xf numFmtId="4" fontId="12" fillId="0" borderId="62" xfId="0" applyNumberFormat="1" applyFont="1" applyBorder="1" applyAlignment="1">
      <alignment horizontal="center"/>
    </xf>
    <xf numFmtId="2" fontId="12" fillId="0" borderId="45" xfId="0" applyNumberFormat="1" applyFont="1" applyBorder="1" applyAlignment="1">
      <alignment horizontal="center"/>
    </xf>
    <xf numFmtId="4" fontId="12" fillId="0" borderId="49" xfId="0" applyNumberFormat="1" applyFont="1" applyBorder="1" applyAlignment="1">
      <alignment horizontal="center"/>
    </xf>
    <xf numFmtId="2" fontId="12" fillId="0" borderId="27" xfId="0" applyNumberFormat="1" applyFont="1" applyBorder="1" applyAlignment="1">
      <alignment horizontal="center"/>
    </xf>
    <xf numFmtId="4" fontId="12" fillId="0" borderId="50" xfId="0" applyNumberFormat="1" applyFont="1" applyBorder="1" applyAlignment="1">
      <alignment horizontal="center"/>
    </xf>
    <xf numFmtId="2" fontId="12" fillId="0" borderId="36" xfId="0" applyNumberFormat="1" applyFont="1" applyBorder="1" applyAlignment="1">
      <alignment horizontal="center"/>
    </xf>
    <xf numFmtId="4" fontId="12" fillId="0" borderId="41" xfId="0" applyNumberFormat="1" applyFont="1" applyBorder="1" applyAlignment="1">
      <alignment horizontal="center"/>
    </xf>
    <xf numFmtId="4" fontId="12" fillId="0" borderId="22" xfId="0" applyNumberFormat="1" applyFont="1" applyBorder="1" applyAlignment="1">
      <alignment horizontal="center"/>
    </xf>
    <xf numFmtId="169" fontId="38" fillId="0" borderId="0" xfId="775" applyFont="1"/>
    <xf numFmtId="0" fontId="41" fillId="4" borderId="49" xfId="709" applyFont="1" applyFill="1" applyBorder="1" applyAlignment="1">
      <alignment horizontal="left" vertical="top" wrapText="1"/>
    </xf>
    <xf numFmtId="0" fontId="41" fillId="4" borderId="50" xfId="709" applyFont="1" applyFill="1" applyBorder="1" applyAlignment="1">
      <alignment horizontal="left" vertical="top" wrapText="1"/>
    </xf>
    <xf numFmtId="0" fontId="41" fillId="4" borderId="44" xfId="709" applyFont="1" applyFill="1" applyBorder="1" applyAlignment="1">
      <alignment horizontal="left" vertical="top" wrapText="1"/>
    </xf>
    <xf numFmtId="0" fontId="41" fillId="4" borderId="56" xfId="709" applyFont="1" applyFill="1" applyBorder="1" applyAlignment="1">
      <alignment horizontal="left" vertical="top" wrapText="1"/>
    </xf>
    <xf numFmtId="0" fontId="39" fillId="0" borderId="0" xfId="709" applyFont="1"/>
    <xf numFmtId="14" fontId="41" fillId="4" borderId="41" xfId="709" applyNumberFormat="1" applyFont="1" applyFill="1" applyBorder="1" applyAlignment="1">
      <alignment horizontal="center" vertical="top"/>
    </xf>
    <xf numFmtId="14" fontId="41" fillId="4" borderId="41" xfId="774" applyNumberFormat="1" applyFont="1" applyFill="1" applyBorder="1" applyAlignment="1">
      <alignment horizontal="center" vertical="top"/>
    </xf>
    <xf numFmtId="14" fontId="41" fillId="4" borderId="42" xfId="709" applyNumberFormat="1" applyFont="1" applyFill="1" applyBorder="1" applyAlignment="1">
      <alignment horizontal="center" vertical="top"/>
    </xf>
    <xf numFmtId="14" fontId="41" fillId="4" borderId="23" xfId="709" applyNumberFormat="1" applyFont="1" applyFill="1" applyBorder="1" applyAlignment="1">
      <alignment horizontal="center" vertical="top"/>
    </xf>
    <xf numFmtId="14" fontId="41" fillId="4" borderId="16" xfId="709" applyNumberFormat="1" applyFont="1" applyFill="1" applyBorder="1" applyAlignment="1">
      <alignment horizontal="center" vertical="top"/>
    </xf>
    <xf numFmtId="14" fontId="41" fillId="4" borderId="17" xfId="774" applyNumberFormat="1" applyFont="1" applyFill="1" applyBorder="1" applyAlignment="1">
      <alignment horizontal="center" vertical="top"/>
    </xf>
    <xf numFmtId="14" fontId="41" fillId="4" borderId="41" xfId="709" applyNumberFormat="1" applyFont="1" applyFill="1" applyBorder="1" applyAlignment="1">
      <alignment horizontal="center" vertical="top" wrapText="1"/>
    </xf>
    <xf numFmtId="14" fontId="41" fillId="4" borderId="51" xfId="709" applyNumberFormat="1" applyFont="1" applyFill="1" applyBorder="1" applyAlignment="1">
      <alignment horizontal="center" vertical="top" wrapText="1"/>
    </xf>
    <xf numFmtId="14" fontId="41" fillId="4" borderId="53" xfId="709" applyNumberFormat="1" applyFont="1" applyFill="1" applyBorder="1" applyAlignment="1">
      <alignment horizontal="center" vertical="top" wrapText="1"/>
    </xf>
    <xf numFmtId="0" fontId="41" fillId="4" borderId="34" xfId="709" applyFont="1" applyFill="1" applyBorder="1" applyAlignment="1">
      <alignment horizontal="left"/>
    </xf>
    <xf numFmtId="0" fontId="41" fillId="4" borderId="2" xfId="709" applyFont="1" applyFill="1" applyBorder="1"/>
    <xf numFmtId="14" fontId="41" fillId="4" borderId="51" xfId="0" applyNumberFormat="1" applyFont="1" applyFill="1" applyBorder="1" applyAlignment="1">
      <alignment horizontal="center"/>
    </xf>
    <xf numFmtId="14" fontId="41" fillId="4" borderId="41" xfId="0" applyNumberFormat="1" applyFont="1" applyFill="1" applyBorder="1" applyAlignment="1">
      <alignment horizontal="center"/>
    </xf>
    <xf numFmtId="14" fontId="41" fillId="4" borderId="53" xfId="0" applyNumberFormat="1" applyFont="1" applyFill="1" applyBorder="1" applyAlignment="1">
      <alignment horizontal="center"/>
    </xf>
    <xf numFmtId="0" fontId="41" fillId="4" borderId="44" xfId="709" applyFont="1" applyFill="1" applyBorder="1" applyAlignment="1">
      <alignment horizontal="left"/>
    </xf>
    <xf numFmtId="0" fontId="41" fillId="4" borderId="47" xfId="709" applyFont="1" applyFill="1" applyBorder="1"/>
    <xf numFmtId="0" fontId="41" fillId="4" borderId="44" xfId="709" applyFont="1" applyFill="1" applyBorder="1"/>
    <xf numFmtId="0" fontId="41" fillId="4" borderId="56" xfId="709" applyFont="1" applyFill="1" applyBorder="1" applyAlignment="1">
      <alignment horizontal="left"/>
    </xf>
    <xf numFmtId="0" fontId="41" fillId="4" borderId="48" xfId="709" applyFont="1" applyFill="1" applyBorder="1"/>
    <xf numFmtId="0" fontId="39" fillId="4" borderId="48" xfId="0" applyFont="1" applyFill="1" applyBorder="1" applyAlignment="1">
      <alignment horizontal="left" vertical="center" wrapText="1" shrinkToFit="1"/>
    </xf>
    <xf numFmtId="0" fontId="13" fillId="4" borderId="54" xfId="0" applyFont="1" applyFill="1" applyBorder="1" applyAlignment="1">
      <alignment horizontal="center" wrapText="1"/>
    </xf>
    <xf numFmtId="14" fontId="13" fillId="4" borderId="43" xfId="0" applyNumberFormat="1" applyFont="1" applyFill="1" applyBorder="1" applyAlignment="1">
      <alignment horizontal="center"/>
    </xf>
    <xf numFmtId="0" fontId="13" fillId="4" borderId="17" xfId="0" applyFont="1" applyFill="1" applyBorder="1" applyAlignment="1">
      <alignment horizontal="center"/>
    </xf>
    <xf numFmtId="0" fontId="13" fillId="4" borderId="42" xfId="0" applyFont="1" applyFill="1" applyBorder="1" applyAlignment="1">
      <alignment horizontal="center"/>
    </xf>
    <xf numFmtId="14" fontId="13" fillId="4" borderId="22" xfId="0" applyNumberFormat="1" applyFont="1" applyFill="1" applyBorder="1" applyAlignment="1">
      <alignment horizontal="center"/>
    </xf>
    <xf numFmtId="9" fontId="13" fillId="4" borderId="54" xfId="0" applyNumberFormat="1" applyFont="1" applyFill="1" applyBorder="1" applyAlignment="1">
      <alignment horizontal="center" vertical="center" wrapText="1"/>
    </xf>
    <xf numFmtId="0" fontId="13" fillId="4" borderId="42" xfId="0" applyFont="1" applyFill="1" applyBorder="1" applyAlignment="1">
      <alignment horizontal="center" vertical="center" wrapText="1"/>
    </xf>
    <xf numFmtId="14" fontId="13" fillId="4" borderId="54" xfId="0" applyNumberFormat="1" applyFont="1" applyFill="1" applyBorder="1" applyAlignment="1">
      <alignment horizontal="center" vertical="center" wrapText="1"/>
    </xf>
    <xf numFmtId="14" fontId="33" fillId="6" borderId="20" xfId="0" applyNumberFormat="1" applyFont="1" applyFill="1" applyBorder="1" applyAlignment="1">
      <alignment horizontal="center" vertical="center" wrapText="1"/>
    </xf>
    <xf numFmtId="14" fontId="13" fillId="4" borderId="22" xfId="0" applyNumberFormat="1" applyFont="1" applyFill="1" applyBorder="1" applyAlignment="1">
      <alignment horizontal="center" wrapText="1"/>
    </xf>
    <xf numFmtId="14" fontId="13" fillId="4" borderId="43" xfId="0" applyNumberFormat="1" applyFont="1" applyFill="1" applyBorder="1" applyAlignment="1">
      <alignment horizontal="center" wrapText="1"/>
    </xf>
    <xf numFmtId="0" fontId="13" fillId="4" borderId="4" xfId="0" applyFont="1" applyFill="1" applyBorder="1" applyAlignment="1">
      <alignment horizontal="center"/>
    </xf>
    <xf numFmtId="0" fontId="13" fillId="4" borderId="6" xfId="0" applyFont="1" applyFill="1" applyBorder="1" applyAlignment="1">
      <alignment horizontal="center"/>
    </xf>
    <xf numFmtId="0" fontId="13" fillId="4" borderId="7" xfId="0" applyFont="1" applyFill="1" applyBorder="1" applyAlignment="1">
      <alignment horizontal="center"/>
    </xf>
    <xf numFmtId="0" fontId="13" fillId="4" borderId="8" xfId="0" applyFont="1" applyFill="1" applyBorder="1" applyAlignment="1">
      <alignment horizontal="center"/>
    </xf>
    <xf numFmtId="0" fontId="13" fillId="4" borderId="9" xfId="0" applyFont="1" applyFill="1" applyBorder="1" applyAlignment="1">
      <alignment horizontal="center"/>
    </xf>
    <xf numFmtId="0" fontId="13" fillId="4" borderId="11" xfId="0" applyFont="1" applyFill="1" applyBorder="1" applyAlignment="1">
      <alignment horizontal="center"/>
    </xf>
    <xf numFmtId="0" fontId="13" fillId="4" borderId="62" xfId="0" applyFont="1" applyFill="1" applyBorder="1" applyAlignment="1">
      <alignment horizontal="center"/>
    </xf>
    <xf numFmtId="0" fontId="13" fillId="4" borderId="49" xfId="0" applyFont="1" applyFill="1" applyBorder="1" applyAlignment="1">
      <alignment horizontal="center"/>
    </xf>
    <xf numFmtId="0" fontId="13" fillId="4" borderId="50" xfId="0" applyFont="1" applyFill="1" applyBorder="1" applyAlignment="1">
      <alignment horizontal="center"/>
    </xf>
    <xf numFmtId="0" fontId="13" fillId="4" borderId="68" xfId="0" applyFont="1" applyFill="1" applyBorder="1" applyAlignment="1">
      <alignment horizontal="center"/>
    </xf>
    <xf numFmtId="4" fontId="38" fillId="0" borderId="49" xfId="709" applyNumberFormat="1" applyFont="1" applyBorder="1" applyAlignment="1">
      <alignment horizontal="center" vertical="center" wrapText="1"/>
    </xf>
    <xf numFmtId="4" fontId="38" fillId="0" borderId="50" xfId="709" applyNumberFormat="1" applyFont="1" applyBorder="1" applyAlignment="1">
      <alignment horizontal="center" vertical="center" wrapText="1"/>
    </xf>
    <xf numFmtId="0" fontId="38" fillId="0" borderId="0" xfId="709" applyFont="1" applyBorder="1"/>
    <xf numFmtId="0" fontId="39" fillId="4" borderId="2" xfId="0" applyFont="1" applyFill="1" applyBorder="1" applyAlignment="1">
      <alignment vertical="center" wrapText="1" shrinkToFit="1"/>
    </xf>
    <xf numFmtId="0" fontId="13" fillId="4" borderId="42" xfId="0" applyFont="1" applyFill="1" applyBorder="1" applyAlignment="1">
      <alignment horizontal="center" vertical="center"/>
    </xf>
    <xf numFmtId="4" fontId="14" fillId="0" borderId="14" xfId="0" applyNumberFormat="1" applyFont="1" applyBorder="1" applyAlignment="1">
      <alignment horizontal="center"/>
    </xf>
    <xf numFmtId="14" fontId="13" fillId="4" borderId="24" xfId="0" applyNumberFormat="1" applyFont="1" applyFill="1" applyBorder="1" applyAlignment="1">
      <alignment horizontal="center" vertical="center" wrapText="1"/>
    </xf>
    <xf numFmtId="0" fontId="13" fillId="4" borderId="42" xfId="0" applyFont="1" applyFill="1" applyBorder="1" applyAlignment="1">
      <alignment horizontal="center" vertical="center" wrapText="1"/>
    </xf>
    <xf numFmtId="4" fontId="14" fillId="0" borderId="12" xfId="0" applyNumberFormat="1" applyFont="1" applyBorder="1" applyAlignment="1">
      <alignment horizontal="center"/>
    </xf>
    <xf numFmtId="0" fontId="13" fillId="4" borderId="42" xfId="0" applyFont="1" applyFill="1" applyBorder="1" applyAlignment="1">
      <alignment horizontal="center"/>
    </xf>
    <xf numFmtId="0" fontId="13" fillId="4" borderId="43" xfId="0" applyFont="1" applyFill="1" applyBorder="1" applyAlignment="1">
      <alignment horizontal="center" vertical="center" wrapText="1"/>
    </xf>
    <xf numFmtId="4" fontId="14" fillId="0" borderId="2" xfId="0" applyNumberFormat="1" applyFont="1" applyBorder="1" applyAlignment="1">
      <alignment horizontal="center"/>
    </xf>
    <xf numFmtId="4" fontId="14" fillId="0" borderId="48" xfId="0" applyNumberFormat="1" applyFont="1" applyBorder="1" applyAlignment="1">
      <alignment horizontal="center"/>
    </xf>
    <xf numFmtId="4" fontId="14" fillId="0" borderId="36" xfId="0" applyNumberFormat="1" applyFont="1" applyBorder="1" applyAlignment="1">
      <alignment horizontal="center"/>
    </xf>
    <xf numFmtId="4" fontId="14" fillId="0" borderId="47" xfId="0" applyNumberFormat="1" applyFont="1" applyBorder="1" applyAlignment="1">
      <alignment horizontal="center"/>
    </xf>
    <xf numFmtId="14" fontId="28" fillId="5" borderId="0" xfId="0" applyNumberFormat="1" applyFont="1" applyFill="1" applyBorder="1" applyAlignment="1">
      <alignment horizontal="center" vertical="center"/>
    </xf>
    <xf numFmtId="4" fontId="14" fillId="0" borderId="35" xfId="0" applyNumberFormat="1" applyFont="1" applyBorder="1" applyAlignment="1">
      <alignment horizontal="center"/>
    </xf>
    <xf numFmtId="0" fontId="14" fillId="4" borderId="13" xfId="0" applyFont="1" applyFill="1" applyBorder="1" applyAlignment="1">
      <alignment horizontal="center"/>
    </xf>
    <xf numFmtId="0" fontId="14" fillId="4" borderId="26" xfId="0" applyFont="1" applyFill="1" applyBorder="1" applyAlignment="1">
      <alignment horizontal="center"/>
    </xf>
    <xf numFmtId="0" fontId="14" fillId="4" borderId="56" xfId="0" applyFont="1" applyFill="1" applyBorder="1" applyAlignment="1">
      <alignment horizontal="center"/>
    </xf>
    <xf numFmtId="0" fontId="14" fillId="4" borderId="18" xfId="0" applyFont="1" applyFill="1" applyBorder="1" applyAlignment="1">
      <alignment horizontal="center"/>
    </xf>
    <xf numFmtId="0" fontId="14" fillId="4" borderId="25" xfId="0" applyFont="1" applyFill="1" applyBorder="1" applyAlignment="1">
      <alignment horizontal="center"/>
    </xf>
    <xf numFmtId="0" fontId="14" fillId="4" borderId="35" xfId="0" applyFont="1" applyFill="1" applyBorder="1" applyAlignment="1">
      <alignment horizontal="center"/>
    </xf>
    <xf numFmtId="0" fontId="39" fillId="4" borderId="46" xfId="709" applyFont="1" applyFill="1" applyBorder="1" applyAlignment="1">
      <alignment horizontal="center" vertical="center" wrapText="1"/>
    </xf>
    <xf numFmtId="4" fontId="14" fillId="0" borderId="47" xfId="0" applyNumberFormat="1" applyFont="1" applyBorder="1" applyAlignment="1">
      <alignment horizontal="center"/>
    </xf>
    <xf numFmtId="4" fontId="14" fillId="0" borderId="34" xfId="0" applyNumberFormat="1" applyFont="1" applyBorder="1" applyAlignment="1">
      <alignment horizontal="center"/>
    </xf>
    <xf numFmtId="4" fontId="14" fillId="0" borderId="48" xfId="0" applyNumberFormat="1" applyFont="1" applyBorder="1" applyAlignment="1">
      <alignment horizontal="center"/>
    </xf>
    <xf numFmtId="0" fontId="13" fillId="4" borderId="52" xfId="0" applyFont="1" applyFill="1" applyBorder="1" applyAlignment="1">
      <alignment horizontal="center" vertical="center"/>
    </xf>
    <xf numFmtId="4" fontId="14" fillId="0" borderId="56" xfId="0" applyNumberFormat="1" applyFont="1" applyBorder="1" applyAlignment="1">
      <alignment horizontal="center"/>
    </xf>
    <xf numFmtId="4" fontId="14" fillId="0" borderId="2" xfId="0" applyNumberFormat="1" applyFont="1" applyBorder="1" applyAlignment="1">
      <alignment horizontal="center"/>
    </xf>
    <xf numFmtId="4" fontId="14" fillId="0" borderId="24" xfId="0" applyNumberFormat="1" applyFont="1" applyBorder="1" applyAlignment="1">
      <alignment horizontal="center"/>
    </xf>
    <xf numFmtId="0" fontId="13" fillId="4" borderId="72" xfId="0" applyFont="1" applyFill="1" applyBorder="1" applyAlignment="1">
      <alignment horizontal="center" vertical="center"/>
    </xf>
    <xf numFmtId="0" fontId="13" fillId="4" borderId="63" xfId="0" applyFont="1" applyFill="1" applyBorder="1" applyAlignment="1">
      <alignment horizontal="center" vertical="center"/>
    </xf>
    <xf numFmtId="0" fontId="13" fillId="4" borderId="71" xfId="0" applyFont="1" applyFill="1" applyBorder="1" applyAlignment="1">
      <alignment horizontal="center" vertical="center"/>
    </xf>
    <xf numFmtId="0" fontId="13" fillId="3" borderId="23" xfId="0" applyFont="1" applyFill="1" applyBorder="1" applyAlignment="1">
      <alignment horizontal="center" vertical="center"/>
    </xf>
    <xf numFmtId="0" fontId="13" fillId="0" borderId="23" xfId="0" applyFont="1" applyBorder="1" applyAlignment="1">
      <alignment vertical="center"/>
    </xf>
    <xf numFmtId="4" fontId="13" fillId="4" borderId="17" xfId="0" applyNumberFormat="1" applyFont="1" applyFill="1" applyBorder="1" applyAlignment="1">
      <alignment horizontal="center" vertical="center"/>
    </xf>
    <xf numFmtId="4" fontId="14" fillId="0" borderId="1" xfId="0" applyNumberFormat="1" applyFont="1" applyBorder="1" applyAlignment="1">
      <alignment horizontal="right"/>
    </xf>
    <xf numFmtId="0" fontId="14" fillId="0" borderId="1" xfId="0" applyFont="1" applyBorder="1"/>
    <xf numFmtId="4" fontId="38" fillId="0" borderId="5" xfId="35" applyNumberFormat="1" applyFont="1" applyBorder="1" applyAlignment="1">
      <alignment horizontal="center"/>
    </xf>
    <xf numFmtId="4" fontId="14" fillId="0" borderId="8" xfId="0" applyNumberFormat="1" applyFont="1" applyBorder="1"/>
    <xf numFmtId="4" fontId="38" fillId="0" borderId="39" xfId="35" applyNumberFormat="1" applyFont="1" applyBorder="1" applyAlignment="1">
      <alignment horizontal="center"/>
    </xf>
    <xf numFmtId="4" fontId="14" fillId="0" borderId="37" xfId="0" applyNumberFormat="1" applyFont="1" applyBorder="1"/>
    <xf numFmtId="0" fontId="14" fillId="4" borderId="3" xfId="0" applyFont="1" applyFill="1" applyBorder="1" applyAlignment="1">
      <alignment horizontal="center"/>
    </xf>
    <xf numFmtId="0" fontId="14" fillId="4" borderId="73" xfId="0" applyFont="1" applyFill="1" applyBorder="1" applyAlignment="1">
      <alignment horizontal="center"/>
    </xf>
    <xf numFmtId="0" fontId="32" fillId="4" borderId="3" xfId="0" applyFont="1" applyFill="1" applyBorder="1" applyAlignment="1">
      <alignment horizontal="center"/>
    </xf>
    <xf numFmtId="0" fontId="32" fillId="4" borderId="18" xfId="0" applyFont="1" applyFill="1" applyBorder="1" applyAlignment="1">
      <alignment horizontal="center"/>
    </xf>
    <xf numFmtId="0" fontId="32" fillId="4" borderId="73" xfId="0" applyFont="1" applyFill="1" applyBorder="1" applyAlignment="1">
      <alignment horizontal="center"/>
    </xf>
    <xf numFmtId="4" fontId="14" fillId="0" borderId="12" xfId="0" applyNumberFormat="1" applyFont="1" applyBorder="1" applyAlignment="1">
      <alignment horizontal="right"/>
    </xf>
    <xf numFmtId="0" fontId="0" fillId="0" borderId="35" xfId="0" applyBorder="1" applyAlignment="1">
      <alignment horizontal="center"/>
    </xf>
    <xf numFmtId="0" fontId="0" fillId="0" borderId="74" xfId="0" applyBorder="1" applyAlignment="1">
      <alignment horizontal="center"/>
    </xf>
    <xf numFmtId="4" fontId="14" fillId="0" borderId="74" xfId="0" applyNumberFormat="1" applyFont="1" applyBorder="1" applyAlignment="1">
      <alignment horizontal="right"/>
    </xf>
    <xf numFmtId="4" fontId="14" fillId="0" borderId="3" xfId="0" applyNumberFormat="1" applyFont="1" applyBorder="1" applyAlignment="1">
      <alignment horizontal="right"/>
    </xf>
    <xf numFmtId="0" fontId="0" fillId="0" borderId="18" xfId="0" applyBorder="1" applyAlignment="1">
      <alignment horizontal="right"/>
    </xf>
    <xf numFmtId="0" fontId="0" fillId="0" borderId="73" xfId="0" applyBorder="1" applyAlignment="1">
      <alignment horizontal="right"/>
    </xf>
    <xf numFmtId="4" fontId="14" fillId="0" borderId="49" xfId="0" applyNumberFormat="1" applyFont="1" applyBorder="1" applyAlignment="1">
      <alignment horizontal="right"/>
    </xf>
    <xf numFmtId="4" fontId="14" fillId="0" borderId="68" xfId="0" applyNumberFormat="1" applyFont="1" applyBorder="1" applyAlignment="1">
      <alignment horizontal="right"/>
    </xf>
    <xf numFmtId="4" fontId="32" fillId="0" borderId="25" xfId="0" applyNumberFormat="1" applyFont="1" applyBorder="1" applyAlignment="1">
      <alignment horizontal="right"/>
    </xf>
    <xf numFmtId="4" fontId="32" fillId="0" borderId="26" xfId="0" applyNumberFormat="1" applyFont="1" applyBorder="1" applyAlignment="1">
      <alignment horizontal="right"/>
    </xf>
    <xf numFmtId="4" fontId="0" fillId="0" borderId="26" xfId="0" applyNumberFormat="1" applyFont="1" applyBorder="1"/>
    <xf numFmtId="0" fontId="0" fillId="0" borderId="3" xfId="0" applyFont="1" applyBorder="1"/>
    <xf numFmtId="0" fontId="0" fillId="0" borderId="26" xfId="0" applyFont="1" applyBorder="1"/>
    <xf numFmtId="0" fontId="0" fillId="0" borderId="33" xfId="0" applyFont="1" applyBorder="1"/>
    <xf numFmtId="0" fontId="13" fillId="4" borderId="43" xfId="0" applyFont="1" applyFill="1" applyBorder="1" applyAlignment="1">
      <alignment horizontal="center"/>
    </xf>
    <xf numFmtId="0" fontId="39" fillId="3" borderId="0" xfId="709" applyFill="1"/>
    <xf numFmtId="4" fontId="39" fillId="3" borderId="0" xfId="709" applyNumberFormat="1" applyFill="1"/>
    <xf numFmtId="0" fontId="23" fillId="3" borderId="0" xfId="0" applyFont="1" applyFill="1" applyBorder="1" applyAlignment="1">
      <alignment wrapText="1"/>
    </xf>
    <xf numFmtId="0" fontId="23" fillId="3" borderId="0" xfId="0" applyFont="1" applyFill="1" applyBorder="1" applyAlignment="1"/>
    <xf numFmtId="0" fontId="10" fillId="4" borderId="53" xfId="0" applyFont="1" applyFill="1" applyBorder="1" applyAlignment="1">
      <alignment vertical="center"/>
    </xf>
    <xf numFmtId="0" fontId="18" fillId="3" borderId="0" xfId="0" applyFont="1" applyFill="1" applyBorder="1" applyAlignment="1">
      <alignment vertical="center" wrapText="1"/>
    </xf>
    <xf numFmtId="2" fontId="12" fillId="3" borderId="0" xfId="0" applyNumberFormat="1" applyFont="1" applyFill="1" applyBorder="1" applyAlignment="1">
      <alignment vertical="center" wrapText="1"/>
    </xf>
    <xf numFmtId="0" fontId="13" fillId="4" borderId="16" xfId="0" applyFont="1" applyFill="1" applyBorder="1" applyAlignment="1">
      <alignment horizontal="center" wrapText="1"/>
    </xf>
    <xf numFmtId="0" fontId="13" fillId="4" borderId="42" xfId="0" applyFont="1" applyFill="1" applyBorder="1" applyAlignment="1">
      <alignment horizontal="center" wrapText="1"/>
    </xf>
    <xf numFmtId="0" fontId="13" fillId="4" borderId="51" xfId="0" applyFont="1" applyFill="1" applyBorder="1" applyAlignment="1">
      <alignment horizontal="center" vertical="center" wrapText="1"/>
    </xf>
    <xf numFmtId="10" fontId="13" fillId="4" borderId="52" xfId="0" applyNumberFormat="1" applyFont="1" applyFill="1" applyBorder="1" applyAlignment="1">
      <alignment vertical="center"/>
    </xf>
    <xf numFmtId="2" fontId="39" fillId="3" borderId="0" xfId="709" applyNumberFormat="1" applyFill="1" applyBorder="1"/>
    <xf numFmtId="4" fontId="14" fillId="3" borderId="0" xfId="0" applyNumberFormat="1" applyFont="1" applyFill="1" applyBorder="1" applyAlignment="1"/>
    <xf numFmtId="0" fontId="13" fillId="4" borderId="23" xfId="0" applyFont="1" applyFill="1" applyBorder="1" applyAlignment="1">
      <alignment horizontal="center" wrapText="1"/>
    </xf>
    <xf numFmtId="10" fontId="13" fillId="3" borderId="0" xfId="0" applyNumberFormat="1" applyFont="1" applyFill="1" applyBorder="1" applyAlignment="1">
      <alignment vertical="center"/>
    </xf>
    <xf numFmtId="10" fontId="13" fillId="3" borderId="0" xfId="0" applyNumberFormat="1" applyFont="1" applyFill="1" applyBorder="1" applyAlignment="1">
      <alignment horizontal="left" vertical="center"/>
    </xf>
    <xf numFmtId="0" fontId="33" fillId="3" borderId="0" xfId="0" applyFont="1" applyFill="1" applyBorder="1" applyAlignment="1">
      <alignment horizontal="center"/>
    </xf>
    <xf numFmtId="0" fontId="13" fillId="4" borderId="53" xfId="0" applyFont="1" applyFill="1" applyBorder="1" applyAlignment="1">
      <alignment vertical="center"/>
    </xf>
    <xf numFmtId="0" fontId="14" fillId="4" borderId="44" xfId="0" applyFont="1" applyFill="1" applyBorder="1" applyAlignment="1">
      <alignment horizontal="center"/>
    </xf>
    <xf numFmtId="0" fontId="38" fillId="0" borderId="0" xfId="709" applyFont="1" applyAlignment="1">
      <alignment wrapText="1"/>
    </xf>
    <xf numFmtId="0" fontId="14" fillId="4" borderId="1" xfId="0" applyFont="1" applyFill="1" applyBorder="1" applyAlignment="1">
      <alignment horizontal="left" vertical="center" wrapText="1" shrinkToFit="1"/>
    </xf>
    <xf numFmtId="0" fontId="14" fillId="4" borderId="10" xfId="0" applyFont="1" applyFill="1" applyBorder="1" applyAlignment="1">
      <alignment vertical="center" wrapText="1" shrinkToFit="1"/>
    </xf>
    <xf numFmtId="4" fontId="14" fillId="0" borderId="62" xfId="0" applyNumberFormat="1" applyFont="1" applyBorder="1" applyAlignment="1">
      <alignment horizontal="center" vertical="center"/>
    </xf>
    <xf numFmtId="3" fontId="14" fillId="0" borderId="62" xfId="0" quotePrefix="1" applyNumberFormat="1" applyFont="1" applyBorder="1" applyAlignment="1">
      <alignment horizontal="center" vertical="center"/>
    </xf>
    <xf numFmtId="4" fontId="14" fillId="0" borderId="15" xfId="0" applyNumberFormat="1" applyFont="1" applyBorder="1" applyAlignment="1">
      <alignment horizontal="center" vertical="center"/>
    </xf>
    <xf numFmtId="4" fontId="32" fillId="0" borderId="62" xfId="0" applyNumberFormat="1" applyFont="1" applyBorder="1" applyAlignment="1">
      <alignment horizontal="center"/>
    </xf>
    <xf numFmtId="4" fontId="32" fillId="0" borderId="46" xfId="0" applyNumberFormat="1" applyFont="1" applyBorder="1" applyAlignment="1">
      <alignment horizontal="center"/>
    </xf>
    <xf numFmtId="4" fontId="32" fillId="0" borderId="43" xfId="0" applyNumberFormat="1" applyFont="1" applyBorder="1" applyAlignment="1">
      <alignment horizontal="center"/>
    </xf>
    <xf numFmtId="4" fontId="32" fillId="0" borderId="2" xfId="0" applyNumberFormat="1" applyFont="1" applyBorder="1" applyAlignment="1">
      <alignment horizontal="center"/>
    </xf>
    <xf numFmtId="4" fontId="32" fillId="0" borderId="24" xfId="0" applyNumberFormat="1" applyFont="1" applyBorder="1" applyAlignment="1">
      <alignment horizontal="center"/>
    </xf>
    <xf numFmtId="4" fontId="14" fillId="0" borderId="40" xfId="0" applyNumberFormat="1" applyFont="1" applyBorder="1" applyAlignment="1">
      <alignment horizontal="center"/>
    </xf>
    <xf numFmtId="0" fontId="33" fillId="6" borderId="41" xfId="0" applyFont="1" applyFill="1" applyBorder="1" applyAlignment="1">
      <alignment horizontal="center" vertical="center"/>
    </xf>
    <xf numFmtId="3" fontId="33" fillId="6" borderId="52" xfId="0" applyNumberFormat="1" applyFont="1" applyFill="1" applyBorder="1" applyAlignment="1">
      <alignment horizontal="center" vertical="center"/>
    </xf>
    <xf numFmtId="4" fontId="33" fillId="6" borderId="53" xfId="0" applyNumberFormat="1" applyFont="1" applyFill="1" applyBorder="1" applyAlignment="1">
      <alignment horizontal="center" vertical="center"/>
    </xf>
    <xf numFmtId="0" fontId="13" fillId="4" borderId="67" xfId="0" applyFont="1" applyFill="1" applyBorder="1" applyAlignment="1">
      <alignment horizontal="center" vertical="center"/>
    </xf>
    <xf numFmtId="3" fontId="13" fillId="4" borderId="41" xfId="0" applyNumberFormat="1" applyFont="1" applyFill="1" applyBorder="1" applyAlignment="1">
      <alignment horizontal="center" vertical="center"/>
    </xf>
    <xf numFmtId="4" fontId="13" fillId="4" borderId="41" xfId="0" applyNumberFormat="1" applyFont="1" applyFill="1" applyBorder="1" applyAlignment="1">
      <alignment horizontal="center" vertical="center"/>
    </xf>
    <xf numFmtId="0" fontId="47" fillId="4" borderId="62" xfId="709" applyFont="1" applyFill="1" applyBorder="1" applyAlignment="1">
      <alignment horizontal="center" vertical="top" wrapText="1"/>
    </xf>
    <xf numFmtId="0" fontId="47" fillId="4" borderId="2" xfId="709" applyFont="1" applyFill="1" applyBorder="1" applyAlignment="1">
      <alignment horizontal="center" vertical="top" wrapText="1"/>
    </xf>
    <xf numFmtId="0" fontId="47" fillId="4" borderId="45" xfId="709" applyFont="1" applyFill="1" applyBorder="1" applyAlignment="1">
      <alignment horizontal="center" vertical="top" wrapText="1"/>
    </xf>
    <xf numFmtId="0" fontId="11" fillId="4" borderId="4" xfId="0" applyFont="1" applyFill="1" applyBorder="1" applyAlignment="1">
      <alignment horizontal="center"/>
    </xf>
    <xf numFmtId="0" fontId="11" fillId="4" borderId="6" xfId="0" applyFont="1" applyFill="1" applyBorder="1" applyAlignment="1">
      <alignment horizontal="center"/>
    </xf>
    <xf numFmtId="14" fontId="11" fillId="4" borderId="9" xfId="0" applyNumberFormat="1" applyFont="1" applyFill="1" applyBorder="1" applyAlignment="1">
      <alignment horizontal="center"/>
    </xf>
    <xf numFmtId="14" fontId="11" fillId="4" borderId="11" xfId="0" applyNumberFormat="1" applyFont="1" applyFill="1" applyBorder="1" applyAlignment="1">
      <alignment horizontal="center"/>
    </xf>
    <xf numFmtId="0" fontId="11" fillId="4" borderId="15" xfId="0" applyFont="1" applyFill="1" applyBorder="1" applyAlignment="1">
      <alignment horizontal="center"/>
    </xf>
    <xf numFmtId="14" fontId="11" fillId="4" borderId="36" xfId="0" applyNumberFormat="1" applyFont="1" applyFill="1" applyBorder="1" applyAlignment="1">
      <alignment horizontal="center"/>
    </xf>
    <xf numFmtId="0" fontId="41" fillId="4" borderId="62" xfId="709" applyFont="1" applyFill="1" applyBorder="1" applyAlignment="1">
      <alignment horizontal="center" vertical="center" wrapText="1"/>
    </xf>
    <xf numFmtId="0" fontId="41" fillId="4" borderId="2" xfId="709" applyFont="1" applyFill="1" applyBorder="1" applyAlignment="1">
      <alignment horizontal="center" vertical="center" wrapText="1"/>
    </xf>
    <xf numFmtId="0" fontId="41" fillId="4" borderId="45" xfId="709" applyFont="1" applyFill="1" applyBorder="1" applyAlignment="1">
      <alignment horizontal="center" vertical="center" wrapText="1"/>
    </xf>
    <xf numFmtId="0" fontId="41" fillId="4" borderId="13" xfId="709" applyFont="1" applyFill="1" applyBorder="1" applyAlignment="1">
      <alignment horizontal="center" vertical="center" wrapText="1"/>
    </xf>
    <xf numFmtId="0" fontId="41" fillId="4" borderId="34" xfId="709" applyFont="1" applyFill="1" applyBorder="1" applyAlignment="1">
      <alignment horizontal="center" vertical="center" wrapText="1"/>
    </xf>
    <xf numFmtId="0" fontId="41" fillId="4" borderId="46" xfId="709" applyFont="1" applyFill="1" applyBorder="1" applyAlignment="1">
      <alignment horizontal="center" vertical="center" wrapText="1"/>
    </xf>
    <xf numFmtId="10" fontId="41" fillId="4" borderId="46" xfId="774" applyNumberFormat="1" applyFont="1" applyFill="1" applyBorder="1" applyAlignment="1">
      <alignment horizontal="center" vertical="center"/>
    </xf>
    <xf numFmtId="2" fontId="14" fillId="3" borderId="57" xfId="0" applyNumberFormat="1" applyFont="1" applyFill="1" applyBorder="1" applyAlignment="1">
      <alignment horizontal="center" vertical="center" wrapText="1"/>
    </xf>
    <xf numFmtId="4" fontId="38" fillId="3" borderId="46" xfId="709" applyNumberFormat="1" applyFont="1" applyFill="1" applyBorder="1" applyAlignment="1">
      <alignment horizontal="center" vertical="center"/>
    </xf>
    <xf numFmtId="4" fontId="38" fillId="3" borderId="50" xfId="709" applyNumberFormat="1" applyFont="1" applyFill="1" applyBorder="1" applyAlignment="1">
      <alignment horizontal="center" vertical="center"/>
    </xf>
    <xf numFmtId="4" fontId="38" fillId="3" borderId="49" xfId="709" applyNumberFormat="1" applyFont="1" applyFill="1" applyBorder="1" applyAlignment="1">
      <alignment horizontal="center" vertical="center"/>
    </xf>
    <xf numFmtId="0" fontId="38" fillId="4" borderId="49" xfId="709" applyFont="1" applyFill="1" applyBorder="1" applyAlignment="1">
      <alignment horizontal="center"/>
    </xf>
    <xf numFmtId="4" fontId="38" fillId="0" borderId="47" xfId="709" applyNumberFormat="1" applyFont="1" applyBorder="1" applyAlignment="1">
      <alignment horizontal="center"/>
    </xf>
    <xf numFmtId="0" fontId="38" fillId="4" borderId="50" xfId="709" applyFont="1" applyFill="1" applyBorder="1" applyAlignment="1">
      <alignment horizontal="center"/>
    </xf>
    <xf numFmtId="4" fontId="38" fillId="0" borderId="48" xfId="709" applyNumberFormat="1" applyFont="1" applyBorder="1" applyAlignment="1">
      <alignment horizontal="center"/>
    </xf>
    <xf numFmtId="4" fontId="38" fillId="3" borderId="43" xfId="709" applyNumberFormat="1" applyFont="1" applyFill="1" applyBorder="1" applyAlignment="1">
      <alignment horizontal="center" vertical="center"/>
    </xf>
    <xf numFmtId="0" fontId="10" fillId="4" borderId="51" xfId="0" applyFont="1" applyFill="1" applyBorder="1" applyAlignment="1">
      <alignment vertical="center"/>
    </xf>
    <xf numFmtId="0" fontId="10" fillId="4" borderId="52" xfId="0" applyFont="1" applyFill="1" applyBorder="1" applyAlignment="1">
      <alignment vertical="center"/>
    </xf>
    <xf numFmtId="0" fontId="10" fillId="4" borderId="0" xfId="0" applyFont="1" applyFill="1" applyBorder="1" applyAlignment="1">
      <alignment vertical="center"/>
    </xf>
    <xf numFmtId="2" fontId="39" fillId="3" borderId="46" xfId="0" applyNumberFormat="1" applyFont="1" applyFill="1" applyBorder="1" applyAlignment="1">
      <alignment horizontal="center" vertical="center" wrapText="1" shrinkToFit="1"/>
    </xf>
    <xf numFmtId="2" fontId="39" fillId="0" borderId="46" xfId="0" applyNumberFormat="1" applyFont="1" applyBorder="1" applyAlignment="1">
      <alignment horizontal="center"/>
    </xf>
    <xf numFmtId="2" fontId="39" fillId="0" borderId="45" xfId="0" applyNumberFormat="1" applyFont="1" applyBorder="1" applyAlignment="1">
      <alignment horizontal="center"/>
    </xf>
    <xf numFmtId="2" fontId="39" fillId="3" borderId="49" xfId="0" applyNumberFormat="1" applyFont="1" applyFill="1" applyBorder="1" applyAlignment="1">
      <alignment horizontal="center" vertical="center" wrapText="1" shrinkToFit="1"/>
    </xf>
    <xf numFmtId="2" fontId="39" fillId="0" borderId="49" xfId="0" applyNumberFormat="1" applyFont="1" applyBorder="1" applyAlignment="1">
      <alignment horizontal="center"/>
    </xf>
    <xf numFmtId="2" fontId="39" fillId="0" borderId="27" xfId="0" applyNumberFormat="1" applyFont="1" applyBorder="1" applyAlignment="1">
      <alignment horizontal="center"/>
    </xf>
    <xf numFmtId="2" fontId="39" fillId="3" borderId="50" xfId="0" applyNumberFormat="1" applyFont="1" applyFill="1" applyBorder="1" applyAlignment="1">
      <alignment horizontal="center" vertical="center" wrapText="1" shrinkToFit="1"/>
    </xf>
    <xf numFmtId="2" fontId="39" fillId="0" borderId="50" xfId="0" applyNumberFormat="1" applyFont="1" applyBorder="1" applyAlignment="1">
      <alignment horizontal="center"/>
    </xf>
    <xf numFmtId="2" fontId="39" fillId="0" borderId="36" xfId="0" applyNumberFormat="1" applyFont="1" applyBorder="1" applyAlignment="1">
      <alignment horizontal="center"/>
    </xf>
    <xf numFmtId="4" fontId="39" fillId="0" borderId="34" xfId="0" applyNumberFormat="1" applyFont="1" applyBorder="1" applyAlignment="1">
      <alignment horizontal="center"/>
    </xf>
    <xf numFmtId="4" fontId="39" fillId="0" borderId="46" xfId="0" applyNumberFormat="1" applyFont="1" applyBorder="1" applyAlignment="1">
      <alignment horizontal="center"/>
    </xf>
    <xf numFmtId="4" fontId="39" fillId="0" borderId="45" xfId="0" applyNumberFormat="1" applyFont="1" applyBorder="1" applyAlignment="1">
      <alignment horizontal="center"/>
    </xf>
    <xf numFmtId="4" fontId="39" fillId="0" borderId="44" xfId="0" applyNumberFormat="1" applyFont="1" applyBorder="1" applyAlignment="1">
      <alignment horizontal="center"/>
    </xf>
    <xf numFmtId="4" fontId="39" fillId="0" borderId="27" xfId="0" applyNumberFormat="1" applyFont="1" applyBorder="1" applyAlignment="1">
      <alignment horizontal="center"/>
    </xf>
    <xf numFmtId="4" fontId="39" fillId="0" borderId="56" xfId="0" applyNumberFormat="1" applyFont="1" applyBorder="1" applyAlignment="1">
      <alignment horizontal="center"/>
    </xf>
    <xf numFmtId="4" fontId="39" fillId="0" borderId="50" xfId="0" applyNumberFormat="1" applyFont="1" applyBorder="1" applyAlignment="1">
      <alignment horizontal="center"/>
    </xf>
    <xf numFmtId="4" fontId="39" fillId="0" borderId="36" xfId="0" applyNumberFormat="1" applyFont="1" applyBorder="1" applyAlignment="1">
      <alignment horizontal="center"/>
    </xf>
    <xf numFmtId="4" fontId="39" fillId="0" borderId="46" xfId="773" applyNumberFormat="1" applyFont="1" applyBorder="1" applyAlignment="1">
      <alignment horizontal="center" vertical="center" wrapText="1"/>
    </xf>
    <xf numFmtId="4" fontId="39" fillId="0" borderId="43" xfId="773" applyNumberFormat="1" applyFont="1" applyBorder="1" applyAlignment="1">
      <alignment horizontal="center" vertical="center" wrapText="1"/>
    </xf>
    <xf numFmtId="4" fontId="38" fillId="0" borderId="46" xfId="773" applyNumberFormat="1" applyFont="1" applyBorder="1" applyAlignment="1">
      <alignment horizontal="center" vertical="center" wrapText="1"/>
    </xf>
    <xf numFmtId="4" fontId="38" fillId="0" borderId="43" xfId="773" applyNumberFormat="1" applyFont="1" applyBorder="1" applyAlignment="1">
      <alignment horizontal="center" vertical="center" wrapText="1"/>
    </xf>
    <xf numFmtId="4" fontId="38" fillId="3" borderId="48" xfId="773" applyNumberFormat="1" applyFont="1" applyFill="1" applyBorder="1" applyAlignment="1">
      <alignment horizontal="center" wrapText="1"/>
    </xf>
    <xf numFmtId="4" fontId="38" fillId="3" borderId="50" xfId="773" applyNumberFormat="1" applyFont="1" applyFill="1" applyBorder="1" applyAlignment="1">
      <alignment horizontal="center" wrapText="1"/>
    </xf>
    <xf numFmtId="4" fontId="38" fillId="3" borderId="36" xfId="773" applyNumberFormat="1" applyFont="1" applyFill="1" applyBorder="1" applyAlignment="1">
      <alignment horizontal="center" wrapText="1"/>
    </xf>
    <xf numFmtId="0" fontId="38" fillId="0" borderId="0" xfId="709" applyFont="1" applyAlignment="1">
      <alignment horizontal="left"/>
    </xf>
    <xf numFmtId="0" fontId="47" fillId="0" borderId="0" xfId="709" applyFont="1" applyAlignment="1">
      <alignment horizontal="left" vertical="top"/>
    </xf>
    <xf numFmtId="0" fontId="14" fillId="3" borderId="0" xfId="0" applyFont="1" applyFill="1" applyBorder="1" applyAlignment="1">
      <alignment horizontal="left" vertical="center"/>
    </xf>
    <xf numFmtId="0" fontId="54" fillId="4" borderId="23" xfId="709" applyFont="1" applyFill="1" applyBorder="1" applyAlignment="1"/>
    <xf numFmtId="0" fontId="38" fillId="4" borderId="0" xfId="709" applyFont="1" applyFill="1" applyBorder="1" applyAlignment="1"/>
    <xf numFmtId="2" fontId="12" fillId="3" borderId="0" xfId="0" applyNumberFormat="1" applyFont="1" applyFill="1" applyBorder="1" applyAlignment="1">
      <alignment horizontal="center" vertical="center"/>
    </xf>
    <xf numFmtId="0" fontId="0" fillId="3" borderId="0" xfId="0" applyFill="1" applyBorder="1" applyAlignment="1"/>
    <xf numFmtId="0" fontId="0" fillId="0" borderId="1" xfId="0" applyFill="1" applyBorder="1" applyAlignment="1">
      <alignment horizontal="center"/>
    </xf>
    <xf numFmtId="0" fontId="0" fillId="0" borderId="39" xfId="0" applyFill="1" applyBorder="1" applyAlignment="1">
      <alignment horizontal="center"/>
    </xf>
    <xf numFmtId="0" fontId="0" fillId="0" borderId="37" xfId="0" applyFill="1" applyBorder="1" applyAlignment="1">
      <alignment horizontal="center"/>
    </xf>
    <xf numFmtId="0" fontId="0" fillId="0" borderId="8"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26" fillId="2" borderId="58" xfId="0" applyFont="1" applyFill="1" applyBorder="1" applyAlignment="1">
      <alignment vertical="center" wrapText="1"/>
    </xf>
    <xf numFmtId="0" fontId="26" fillId="2" borderId="31" xfId="0" applyFont="1" applyFill="1" applyBorder="1" applyAlignment="1">
      <alignment vertical="center" wrapText="1"/>
    </xf>
    <xf numFmtId="0" fontId="12" fillId="3" borderId="0" xfId="0" applyFont="1" applyFill="1" applyBorder="1" applyAlignment="1"/>
    <xf numFmtId="0" fontId="54" fillId="4" borderId="52" xfId="709" applyFont="1" applyFill="1" applyBorder="1" applyAlignment="1"/>
    <xf numFmtId="0" fontId="38" fillId="2" borderId="14" xfId="709" applyFont="1" applyFill="1" applyBorder="1" applyAlignment="1"/>
    <xf numFmtId="0" fontId="38" fillId="2" borderId="47" xfId="709" applyFont="1" applyFill="1" applyBorder="1" applyAlignment="1"/>
    <xf numFmtId="0" fontId="38" fillId="2" borderId="48" xfId="709" applyFont="1" applyFill="1" applyBorder="1" applyAlignment="1"/>
    <xf numFmtId="0" fontId="38" fillId="2" borderId="14" xfId="709" applyFont="1" applyFill="1" applyBorder="1" applyAlignment="1">
      <alignment wrapText="1"/>
    </xf>
    <xf numFmtId="0" fontId="38" fillId="4" borderId="47" xfId="709" applyFont="1" applyFill="1" applyBorder="1" applyAlignment="1"/>
    <xf numFmtId="0" fontId="12" fillId="3" borderId="23" xfId="0" applyFont="1" applyFill="1" applyBorder="1" applyAlignment="1">
      <alignment horizontal="left"/>
    </xf>
    <xf numFmtId="0" fontId="12" fillId="3" borderId="23" xfId="0" applyFont="1" applyFill="1" applyBorder="1" applyAlignment="1">
      <alignment horizontal="center"/>
    </xf>
    <xf numFmtId="4" fontId="12" fillId="3" borderId="23" xfId="0" applyNumberFormat="1" applyFont="1" applyFill="1" applyBorder="1" applyAlignment="1">
      <alignment horizontal="center" vertical="center"/>
    </xf>
    <xf numFmtId="4" fontId="12" fillId="3" borderId="17" xfId="0" applyNumberFormat="1" applyFont="1" applyFill="1" applyBorder="1" applyAlignment="1">
      <alignment horizontal="center" vertical="center"/>
    </xf>
    <xf numFmtId="4" fontId="12" fillId="3" borderId="20" xfId="0" applyNumberFormat="1" applyFont="1" applyFill="1" applyBorder="1" applyAlignment="1">
      <alignment horizontal="center" vertical="center"/>
    </xf>
    <xf numFmtId="0" fontId="12" fillId="3" borderId="24" xfId="0" applyFont="1" applyFill="1" applyBorder="1" applyAlignment="1"/>
    <xf numFmtId="0" fontId="12" fillId="3" borderId="22" xfId="0" applyFont="1" applyFill="1" applyBorder="1" applyAlignment="1"/>
    <xf numFmtId="0" fontId="0" fillId="0" borderId="33" xfId="0" applyBorder="1"/>
    <xf numFmtId="0" fontId="0" fillId="0" borderId="3" xfId="0" applyBorder="1"/>
    <xf numFmtId="0" fontId="0" fillId="0" borderId="18" xfId="0" applyBorder="1"/>
    <xf numFmtId="0" fontId="11" fillId="3" borderId="23" xfId="0" applyFont="1" applyFill="1" applyBorder="1" applyAlignment="1">
      <alignment horizontal="left"/>
    </xf>
    <xf numFmtId="0" fontId="38" fillId="0" borderId="0" xfId="709" applyFont="1" applyBorder="1" applyAlignment="1"/>
    <xf numFmtId="0" fontId="0" fillId="0" borderId="3" xfId="0" applyBorder="1" applyAlignment="1">
      <alignment horizontal="left" wrapText="1"/>
    </xf>
    <xf numFmtId="0" fontId="0" fillId="0" borderId="1" xfId="0" applyBorder="1" applyAlignment="1">
      <alignment horizontal="center"/>
    </xf>
    <xf numFmtId="0" fontId="0" fillId="0" borderId="75" xfId="0" applyBorder="1" applyAlignment="1">
      <alignment horizontal="center"/>
    </xf>
    <xf numFmtId="0" fontId="0" fillId="0" borderId="39" xfId="0" applyBorder="1" applyAlignment="1">
      <alignment horizontal="center"/>
    </xf>
    <xf numFmtId="0" fontId="0" fillId="0" borderId="37" xfId="0" applyBorder="1" applyAlignment="1">
      <alignment horizontal="center"/>
    </xf>
    <xf numFmtId="0" fontId="12" fillId="3" borderId="0" xfId="0" applyFont="1" applyFill="1" applyBorder="1" applyAlignment="1">
      <alignment horizontal="left"/>
    </xf>
    <xf numFmtId="0" fontId="12" fillId="3" borderId="0" xfId="0" applyFont="1" applyFill="1" applyBorder="1" applyAlignment="1">
      <alignment horizontal="center"/>
    </xf>
    <xf numFmtId="4" fontId="14" fillId="0" borderId="22" xfId="0" applyNumberFormat="1" applyFont="1" applyBorder="1" applyAlignment="1">
      <alignment horizontal="center"/>
    </xf>
    <xf numFmtId="0" fontId="47" fillId="0" borderId="0" xfId="709" applyFont="1" applyAlignment="1">
      <alignment horizontal="center"/>
    </xf>
    <xf numFmtId="0" fontId="60" fillId="2" borderId="63" xfId="0" applyFont="1" applyFill="1" applyBorder="1" applyAlignment="1">
      <alignment horizontal="center" vertical="center"/>
    </xf>
    <xf numFmtId="0" fontId="60" fillId="2" borderId="63" xfId="0" applyFont="1" applyFill="1" applyBorder="1" applyAlignment="1">
      <alignment horizontal="center" vertical="center" wrapText="1"/>
    </xf>
    <xf numFmtId="0" fontId="60" fillId="2" borderId="77" xfId="0" applyFont="1" applyFill="1" applyBorder="1" applyAlignment="1">
      <alignment horizontal="center" vertical="center" wrapText="1"/>
    </xf>
    <xf numFmtId="0" fontId="42" fillId="0" borderId="0" xfId="709" applyFont="1" applyBorder="1"/>
    <xf numFmtId="0" fontId="53" fillId="4" borderId="34" xfId="709" applyFont="1" applyFill="1" applyBorder="1" applyAlignment="1">
      <alignment horizontal="center" vertical="center" wrapText="1"/>
    </xf>
    <xf numFmtId="0" fontId="53" fillId="4" borderId="46" xfId="709" applyFont="1" applyFill="1" applyBorder="1" applyAlignment="1">
      <alignment horizontal="center" vertical="center" wrapText="1"/>
    </xf>
    <xf numFmtId="0" fontId="14" fillId="4" borderId="14" xfId="0" applyFont="1" applyFill="1" applyBorder="1" applyAlignment="1">
      <alignment vertical="center" wrapText="1" shrinkToFit="1"/>
    </xf>
    <xf numFmtId="0" fontId="14" fillId="4" borderId="15" xfId="0" applyFont="1" applyFill="1" applyBorder="1" applyAlignment="1">
      <alignment vertical="center" wrapText="1" shrinkToFit="1"/>
    </xf>
    <xf numFmtId="14" fontId="14" fillId="3" borderId="0" xfId="0" applyNumberFormat="1" applyFont="1" applyFill="1" applyBorder="1" applyAlignment="1">
      <alignment horizontal="left" vertical="top" wrapText="1"/>
    </xf>
    <xf numFmtId="14" fontId="13" fillId="3" borderId="0" xfId="0" applyNumberFormat="1" applyFont="1" applyFill="1" applyBorder="1" applyAlignment="1">
      <alignment horizontal="center" vertical="center" wrapText="1"/>
    </xf>
    <xf numFmtId="0" fontId="14" fillId="4" borderId="47" xfId="0" applyFont="1" applyFill="1" applyBorder="1" applyAlignment="1">
      <alignment horizontal="left" vertical="center" wrapText="1" shrinkToFit="1"/>
    </xf>
    <xf numFmtId="4" fontId="14" fillId="0" borderId="45" xfId="0" applyNumberFormat="1" applyFont="1" applyBorder="1" applyAlignment="1">
      <alignment horizontal="center"/>
    </xf>
    <xf numFmtId="0" fontId="14" fillId="4" borderId="47" xfId="0" applyFont="1" applyFill="1" applyBorder="1" applyAlignment="1">
      <alignment horizontal="left" vertical="center" wrapText="1" shrinkToFit="1"/>
    </xf>
    <xf numFmtId="4" fontId="14" fillId="0" borderId="22" xfId="0" applyNumberFormat="1" applyFont="1" applyBorder="1" applyAlignment="1">
      <alignment horizontal="center"/>
    </xf>
    <xf numFmtId="4" fontId="12" fillId="0" borderId="9" xfId="0" applyNumberFormat="1" applyFont="1" applyBorder="1" applyAlignment="1">
      <alignment horizontal="center"/>
    </xf>
    <xf numFmtId="2" fontId="12" fillId="0" borderId="11" xfId="0" applyNumberFormat="1" applyFont="1" applyBorder="1" applyAlignment="1">
      <alignment horizontal="center"/>
    </xf>
    <xf numFmtId="0" fontId="12" fillId="3" borderId="0" xfId="0" applyFont="1" applyFill="1" applyBorder="1" applyAlignment="1">
      <alignment horizontal="left"/>
    </xf>
    <xf numFmtId="0" fontId="12" fillId="3" borderId="0" xfId="0" applyFont="1" applyFill="1" applyBorder="1" applyAlignment="1">
      <alignment horizontal="center"/>
    </xf>
    <xf numFmtId="0" fontId="12" fillId="3" borderId="0" xfId="0" applyFont="1" applyFill="1" applyBorder="1" applyAlignment="1">
      <alignment horizontal="center"/>
    </xf>
    <xf numFmtId="0" fontId="14" fillId="3" borderId="56" xfId="0" applyFont="1" applyFill="1" applyBorder="1" applyAlignment="1">
      <alignment horizontal="left"/>
    </xf>
    <xf numFmtId="0" fontId="14" fillId="3" borderId="48" xfId="0" applyFont="1" applyFill="1" applyBorder="1" applyAlignment="1">
      <alignment horizontal="left"/>
    </xf>
    <xf numFmtId="0" fontId="14" fillId="3" borderId="36" xfId="0" applyFont="1" applyFill="1" applyBorder="1" applyAlignment="1">
      <alignment horizontal="left"/>
    </xf>
    <xf numFmtId="0" fontId="14" fillId="4" borderId="22" xfId="0" applyFont="1" applyFill="1" applyBorder="1" applyAlignment="1">
      <alignment horizontal="center" vertical="center" wrapText="1"/>
    </xf>
    <xf numFmtId="0" fontId="14" fillId="3" borderId="47" xfId="0" applyFont="1" applyFill="1" applyBorder="1" applyAlignment="1">
      <alignment horizontal="left" vertical="center"/>
    </xf>
    <xf numFmtId="0" fontId="14" fillId="3" borderId="29" xfId="0" applyFont="1" applyFill="1" applyBorder="1" applyAlignment="1">
      <alignment horizontal="left" vertical="center"/>
    </xf>
    <xf numFmtId="0" fontId="52" fillId="3" borderId="23" xfId="0" applyFont="1" applyFill="1" applyBorder="1" applyAlignment="1">
      <alignment horizontal="left"/>
    </xf>
    <xf numFmtId="0" fontId="33" fillId="0" borderId="19" xfId="0" applyFont="1" applyFill="1" applyBorder="1" applyAlignment="1">
      <alignment vertical="center" wrapText="1"/>
    </xf>
    <xf numFmtId="0" fontId="33" fillId="0" borderId="0" xfId="0" applyFont="1" applyFill="1" applyBorder="1" applyAlignment="1">
      <alignment vertical="center" wrapText="1"/>
    </xf>
    <xf numFmtId="4" fontId="14" fillId="3" borderId="19" xfId="0" applyNumberFormat="1" applyFont="1" applyFill="1" applyBorder="1" applyAlignment="1">
      <alignment horizontal="center" vertical="center"/>
    </xf>
    <xf numFmtId="4" fontId="14" fillId="3" borderId="20" xfId="0" applyNumberFormat="1" applyFont="1" applyFill="1" applyBorder="1" applyAlignment="1">
      <alignment horizontal="center" vertical="center"/>
    </xf>
    <xf numFmtId="0" fontId="14" fillId="0" borderId="20" xfId="0" applyFont="1" applyBorder="1" applyAlignment="1">
      <alignment horizontal="center" vertical="center" wrapText="1"/>
    </xf>
    <xf numFmtId="0" fontId="14" fillId="0" borderId="20" xfId="0" applyFont="1" applyBorder="1" applyAlignment="1">
      <alignment horizontal="left" vertical="top" wrapText="1"/>
    </xf>
    <xf numFmtId="0" fontId="3" fillId="0" borderId="20" xfId="0" applyFont="1" applyBorder="1"/>
    <xf numFmtId="0" fontId="12" fillId="3" borderId="22" xfId="0" applyFont="1" applyFill="1" applyBorder="1"/>
    <xf numFmtId="0" fontId="14" fillId="0" borderId="5" xfId="0" applyFont="1" applyBorder="1"/>
    <xf numFmtId="0" fontId="12" fillId="3" borderId="9" xfId="0" applyFont="1" applyFill="1" applyBorder="1"/>
    <xf numFmtId="0" fontId="12" fillId="3" borderId="10" xfId="0" applyFont="1" applyFill="1" applyBorder="1"/>
    <xf numFmtId="3" fontId="12" fillId="3" borderId="18" xfId="0" applyNumberFormat="1" applyFont="1" applyFill="1" applyBorder="1"/>
    <xf numFmtId="0" fontId="14" fillId="0" borderId="6" xfId="0" applyFont="1" applyBorder="1"/>
    <xf numFmtId="0" fontId="12" fillId="3" borderId="11" xfId="0" applyFont="1" applyFill="1" applyBorder="1"/>
    <xf numFmtId="3" fontId="14" fillId="0" borderId="26" xfId="0" applyNumberFormat="1" applyFont="1" applyBorder="1"/>
    <xf numFmtId="164" fontId="14" fillId="0" borderId="6" xfId="80" applyFont="1" applyBorder="1"/>
    <xf numFmtId="164" fontId="14" fillId="0" borderId="11" xfId="80" applyFont="1" applyBorder="1"/>
    <xf numFmtId="14" fontId="13" fillId="4" borderId="31" xfId="0" applyNumberFormat="1" applyFont="1" applyFill="1" applyBorder="1" applyAlignment="1">
      <alignment horizontal="center"/>
    </xf>
    <xf numFmtId="0" fontId="49" fillId="3" borderId="0" xfId="709" applyFont="1" applyFill="1" applyBorder="1" applyAlignment="1">
      <alignment horizontal="center" wrapText="1"/>
    </xf>
    <xf numFmtId="0" fontId="49" fillId="3" borderId="24" xfId="709" applyFont="1" applyFill="1" applyBorder="1" applyAlignment="1">
      <alignment horizontal="center" wrapText="1"/>
    </xf>
    <xf numFmtId="168" fontId="38" fillId="3" borderId="0" xfId="773" applyFont="1" applyFill="1"/>
    <xf numFmtId="0" fontId="38" fillId="3" borderId="0" xfId="709" applyFont="1" applyFill="1"/>
    <xf numFmtId="14" fontId="11" fillId="4" borderId="64" xfId="0" applyNumberFormat="1" applyFont="1" applyFill="1" applyBorder="1" applyAlignment="1">
      <alignment horizontal="center"/>
    </xf>
    <xf numFmtId="0" fontId="11" fillId="4" borderId="58" xfId="0" applyFont="1" applyFill="1" applyBorder="1" applyAlignment="1">
      <alignment horizontal="center"/>
    </xf>
    <xf numFmtId="14" fontId="11" fillId="4" borderId="20" xfId="0" applyNumberFormat="1" applyFont="1" applyFill="1" applyBorder="1" applyAlignment="1">
      <alignment horizontal="center"/>
    </xf>
    <xf numFmtId="0" fontId="11" fillId="4" borderId="59" xfId="0" applyFont="1" applyFill="1" applyBorder="1" applyAlignment="1">
      <alignment horizontal="center"/>
    </xf>
    <xf numFmtId="14" fontId="11" fillId="4" borderId="31" xfId="0" applyNumberFormat="1" applyFont="1" applyFill="1" applyBorder="1" applyAlignment="1">
      <alignment horizontal="center"/>
    </xf>
    <xf numFmtId="14" fontId="11" fillId="4" borderId="55" xfId="0" applyNumberFormat="1" applyFont="1" applyFill="1" applyBorder="1" applyAlignment="1">
      <alignment horizontal="center"/>
    </xf>
    <xf numFmtId="0" fontId="14" fillId="4" borderId="24" xfId="0" applyFont="1" applyFill="1" applyBorder="1" applyAlignment="1">
      <alignment vertical="center" wrapText="1" shrinkToFit="1"/>
    </xf>
    <xf numFmtId="0" fontId="14" fillId="4" borderId="22" xfId="0" applyFont="1" applyFill="1" applyBorder="1" applyAlignment="1">
      <alignment vertical="center" wrapText="1" shrinkToFit="1"/>
    </xf>
    <xf numFmtId="0" fontId="3" fillId="0" borderId="0" xfId="0" applyFont="1" applyAlignment="1">
      <alignment horizontal="center"/>
    </xf>
    <xf numFmtId="4" fontId="16" fillId="0" borderId="46" xfId="0" applyNumberFormat="1" applyFont="1" applyBorder="1" applyAlignment="1">
      <alignment horizontal="center"/>
    </xf>
    <xf numFmtId="0" fontId="62" fillId="0" borderId="0" xfId="709" applyFont="1"/>
    <xf numFmtId="4" fontId="16" fillId="0" borderId="50" xfId="0" applyNumberFormat="1" applyFont="1" applyBorder="1" applyAlignment="1">
      <alignment horizontal="center"/>
    </xf>
    <xf numFmtId="4" fontId="16" fillId="0" borderId="49" xfId="0" applyNumberFormat="1" applyFont="1" applyBorder="1" applyAlignment="1">
      <alignment horizontal="center"/>
    </xf>
    <xf numFmtId="14" fontId="17" fillId="4" borderId="43" xfId="0" applyNumberFormat="1" applyFont="1" applyFill="1" applyBorder="1" applyAlignment="1">
      <alignment horizontal="center"/>
    </xf>
    <xf numFmtId="14" fontId="41" fillId="4" borderId="43" xfId="709" applyNumberFormat="1" applyFont="1" applyFill="1" applyBorder="1" applyAlignment="1">
      <alignment horizontal="center" vertical="top" wrapText="1"/>
    </xf>
    <xf numFmtId="14" fontId="41" fillId="4" borderId="31" xfId="0" applyNumberFormat="1" applyFont="1" applyFill="1" applyBorder="1" applyAlignment="1">
      <alignment horizontal="center" vertical="center" wrapText="1" shrinkToFit="1"/>
    </xf>
    <xf numFmtId="14" fontId="41" fillId="4" borderId="32" xfId="0" applyNumberFormat="1" applyFont="1" applyFill="1" applyBorder="1" applyAlignment="1">
      <alignment horizontal="center"/>
    </xf>
    <xf numFmtId="14" fontId="41" fillId="4" borderId="55" xfId="0" applyNumberFormat="1" applyFont="1" applyFill="1" applyBorder="1" applyAlignment="1">
      <alignment horizontal="center"/>
    </xf>
    <xf numFmtId="0" fontId="14" fillId="4" borderId="41" xfId="0" applyFont="1" applyFill="1" applyBorder="1" applyAlignment="1">
      <alignment horizontal="center" vertical="center" wrapText="1"/>
    </xf>
    <xf numFmtId="0" fontId="14" fillId="4" borderId="55" xfId="0" applyFont="1" applyFill="1" applyBorder="1" applyAlignment="1">
      <alignment horizontal="center" vertical="center" wrapText="1"/>
    </xf>
    <xf numFmtId="4" fontId="12" fillId="0" borderId="13" xfId="0" applyNumberFormat="1" applyFont="1" applyBorder="1" applyAlignment="1">
      <alignment horizontal="center" vertical="center" wrapText="1"/>
    </xf>
    <xf numFmtId="4" fontId="12" fillId="0" borderId="44" xfId="0" applyNumberFormat="1" applyFont="1" applyBorder="1" applyAlignment="1">
      <alignment horizontal="center" vertical="center" wrapText="1"/>
    </xf>
    <xf numFmtId="4" fontId="12" fillId="0" borderId="56" xfId="0" applyNumberFormat="1" applyFont="1" applyBorder="1" applyAlignment="1">
      <alignment horizontal="center" vertical="center" wrapText="1"/>
    </xf>
    <xf numFmtId="4" fontId="39" fillId="0" borderId="0" xfId="0" applyNumberFormat="1" applyFont="1" applyBorder="1" applyAlignment="1">
      <alignment horizontal="center"/>
    </xf>
    <xf numFmtId="4" fontId="39" fillId="0" borderId="62" xfId="0" applyNumberFormat="1" applyFont="1" applyBorder="1" applyAlignment="1">
      <alignment horizontal="center" vertical="center" wrapText="1"/>
    </xf>
    <xf numFmtId="4" fontId="39" fillId="0" borderId="49" xfId="0" applyNumberFormat="1" applyFont="1" applyBorder="1" applyAlignment="1">
      <alignment horizontal="center" vertical="center" wrapText="1"/>
    </xf>
    <xf numFmtId="4" fontId="39" fillId="0" borderId="50" xfId="0" applyNumberFormat="1" applyFont="1" applyBorder="1" applyAlignment="1">
      <alignment horizontal="center" vertical="center" wrapText="1"/>
    </xf>
    <xf numFmtId="0" fontId="63" fillId="0" borderId="46" xfId="709" applyFont="1" applyBorder="1" applyAlignment="1">
      <alignment horizontal="center" vertical="top" wrapText="1"/>
    </xf>
    <xf numFmtId="168" fontId="62" fillId="0" borderId="46" xfId="773" applyFont="1" applyBorder="1" applyAlignment="1">
      <alignment horizontal="center" wrapText="1"/>
    </xf>
    <xf numFmtId="168" fontId="62" fillId="0" borderId="49" xfId="773" applyFont="1" applyBorder="1" applyAlignment="1">
      <alignment horizontal="center" wrapText="1"/>
    </xf>
    <xf numFmtId="168" fontId="62" fillId="0" borderId="62" xfId="773" applyFont="1" applyBorder="1" applyAlignment="1">
      <alignment horizontal="center" wrapText="1"/>
    </xf>
    <xf numFmtId="168" fontId="62" fillId="0" borderId="27" xfId="773" applyFont="1" applyBorder="1" applyAlignment="1">
      <alignment horizontal="center" wrapText="1"/>
    </xf>
    <xf numFmtId="0" fontId="62" fillId="0" borderId="50" xfId="709" applyFont="1" applyBorder="1" applyAlignment="1">
      <alignment horizontal="center"/>
    </xf>
    <xf numFmtId="14" fontId="17" fillId="4" borderId="22" xfId="0" applyNumberFormat="1" applyFont="1" applyFill="1" applyBorder="1" applyAlignment="1">
      <alignment horizontal="center"/>
    </xf>
    <xf numFmtId="2" fontId="16" fillId="0" borderId="45" xfId="0" applyNumberFormat="1" applyFont="1" applyBorder="1" applyAlignment="1">
      <alignment horizontal="center"/>
    </xf>
    <xf numFmtId="2" fontId="16" fillId="0" borderId="36" xfId="0" applyNumberFormat="1" applyFont="1" applyBorder="1" applyAlignment="1">
      <alignment horizontal="center"/>
    </xf>
    <xf numFmtId="2" fontId="16" fillId="0" borderId="27" xfId="0" applyNumberFormat="1" applyFont="1" applyBorder="1" applyAlignment="1">
      <alignment horizontal="center"/>
    </xf>
    <xf numFmtId="0" fontId="67" fillId="9" borderId="4" xfId="709" applyFont="1" applyFill="1" applyBorder="1" applyAlignment="1">
      <alignment horizontal="center" vertical="top" wrapText="1"/>
    </xf>
    <xf numFmtId="0" fontId="67" fillId="9" borderId="26" xfId="709" applyFont="1" applyFill="1" applyBorder="1" applyAlignment="1">
      <alignment horizontal="center" vertical="top" wrapText="1"/>
    </xf>
    <xf numFmtId="0" fontId="67" fillId="9" borderId="15" xfId="709" applyFont="1" applyFill="1" applyBorder="1" applyAlignment="1">
      <alignment horizontal="center" vertical="top" wrapText="1"/>
    </xf>
    <xf numFmtId="168" fontId="62" fillId="0" borderId="4" xfId="773" applyFont="1" applyBorder="1" applyAlignment="1">
      <alignment horizontal="justify" wrapText="1"/>
    </xf>
    <xf numFmtId="168" fontId="62" fillId="0" borderId="26" xfId="773" applyFont="1" applyBorder="1" applyAlignment="1">
      <alignment horizontal="justify" wrapText="1"/>
    </xf>
    <xf numFmtId="168" fontId="62" fillId="0" borderId="15" xfId="773" applyFont="1" applyBorder="1" applyAlignment="1">
      <alignment horizontal="justify" wrapText="1"/>
    </xf>
    <xf numFmtId="168" fontId="62" fillId="0" borderId="31" xfId="773" applyFont="1" applyBorder="1" applyAlignment="1">
      <alignment horizontal="justify" wrapText="1"/>
    </xf>
    <xf numFmtId="168" fontId="62" fillId="0" borderId="32" xfId="773" applyFont="1" applyBorder="1" applyAlignment="1">
      <alignment horizontal="justify" wrapText="1"/>
    </xf>
    <xf numFmtId="168" fontId="62" fillId="0" borderId="22" xfId="773" applyFont="1" applyBorder="1" applyAlignment="1">
      <alignment horizontal="justify" wrapText="1"/>
    </xf>
    <xf numFmtId="0" fontId="62" fillId="0" borderId="0" xfId="709" applyFont="1" applyBorder="1" applyAlignment="1">
      <alignment horizontal="center"/>
    </xf>
    <xf numFmtId="168" fontId="62" fillId="0" borderId="0" xfId="773" applyFont="1" applyBorder="1" applyAlignment="1">
      <alignment horizontal="justify" wrapText="1"/>
    </xf>
    <xf numFmtId="0" fontId="66" fillId="0" borderId="0" xfId="709" applyFont="1"/>
    <xf numFmtId="0" fontId="0" fillId="0" borderId="0" xfId="0" applyAlignment="1">
      <alignment horizontal="center"/>
    </xf>
    <xf numFmtId="0" fontId="3" fillId="0" borderId="19" xfId="0" applyFont="1" applyBorder="1" applyAlignment="1">
      <alignment horizontal="center"/>
    </xf>
    <xf numFmtId="0" fontId="3" fillId="0" borderId="0" xfId="0" applyFont="1" applyAlignment="1">
      <alignment horizontal="center"/>
    </xf>
    <xf numFmtId="0" fontId="14" fillId="3" borderId="27" xfId="0" applyFont="1" applyFill="1" applyBorder="1" applyAlignment="1">
      <alignment horizontal="left"/>
    </xf>
    <xf numFmtId="0" fontId="14" fillId="3" borderId="15" xfId="0" applyFont="1" applyFill="1" applyBorder="1" applyAlignment="1">
      <alignment horizontal="left" vertical="center"/>
    </xf>
    <xf numFmtId="0" fontId="13" fillId="3" borderId="0" xfId="0" applyFont="1" applyFill="1" applyBorder="1" applyAlignment="1">
      <alignment horizontal="center" vertical="center" wrapText="1"/>
    </xf>
    <xf numFmtId="0" fontId="14" fillId="3" borderId="36" xfId="0" applyFont="1" applyFill="1" applyBorder="1" applyAlignment="1">
      <alignment horizontal="left"/>
    </xf>
    <xf numFmtId="0" fontId="14" fillId="3" borderId="47" xfId="0" applyFont="1" applyFill="1" applyBorder="1" applyAlignment="1">
      <alignment horizontal="left" vertical="center"/>
    </xf>
    <xf numFmtId="0" fontId="14" fillId="3" borderId="29" xfId="0" applyFont="1" applyFill="1" applyBorder="1" applyAlignment="1">
      <alignment horizontal="left" vertical="center"/>
    </xf>
    <xf numFmtId="0" fontId="52" fillId="3" borderId="0" xfId="0" applyFont="1" applyFill="1" applyBorder="1" applyAlignment="1">
      <alignment horizontal="left" vertical="center" wrapText="1"/>
    </xf>
    <xf numFmtId="0" fontId="17" fillId="0" borderId="0" xfId="0" applyFont="1" applyAlignment="1"/>
    <xf numFmtId="14" fontId="24" fillId="3" borderId="0" xfId="0" applyNumberFormat="1" applyFont="1" applyFill="1"/>
    <xf numFmtId="0" fontId="13" fillId="0" borderId="0" xfId="0" applyFont="1" applyAlignment="1">
      <alignment horizontal="center"/>
    </xf>
    <xf numFmtId="0" fontId="17" fillId="0" borderId="0" xfId="0" applyFont="1" applyBorder="1" applyAlignment="1">
      <alignment horizontal="center" vertical="center" wrapText="1"/>
    </xf>
    <xf numFmtId="0" fontId="13" fillId="4" borderId="42" xfId="0" applyFont="1" applyFill="1" applyBorder="1" applyAlignment="1">
      <alignment horizontal="center" vertical="center" wrapText="1"/>
    </xf>
    <xf numFmtId="0" fontId="13" fillId="4" borderId="54" xfId="0" applyFont="1" applyFill="1" applyBorder="1" applyAlignment="1">
      <alignment horizontal="center" vertical="center" wrapText="1"/>
    </xf>
    <xf numFmtId="0" fontId="13" fillId="4" borderId="59" xfId="0" applyFont="1" applyFill="1" applyBorder="1" applyAlignment="1">
      <alignment horizontal="center" vertical="center" wrapText="1"/>
    </xf>
    <xf numFmtId="0" fontId="13" fillId="4" borderId="60" xfId="0" applyFont="1" applyFill="1" applyBorder="1" applyAlignment="1">
      <alignment horizontal="center" vertical="center" wrapText="1"/>
    </xf>
    <xf numFmtId="0" fontId="11" fillId="4" borderId="58" xfId="0" applyFont="1" applyFill="1" applyBorder="1" applyAlignment="1">
      <alignment horizontal="center" wrapText="1"/>
    </xf>
    <xf numFmtId="0" fontId="11" fillId="4" borderId="59" xfId="0" applyFont="1" applyFill="1" applyBorder="1" applyAlignment="1">
      <alignment horizontal="center" vertical="center"/>
    </xf>
    <xf numFmtId="0" fontId="13" fillId="4" borderId="58" xfId="0" applyFont="1" applyFill="1" applyBorder="1" applyAlignment="1">
      <alignment horizontal="center" wrapText="1"/>
    </xf>
    <xf numFmtId="0" fontId="11" fillId="4" borderId="60" xfId="0" applyFont="1" applyFill="1" applyBorder="1" applyAlignment="1">
      <alignment horizontal="center" wrapText="1"/>
    </xf>
    <xf numFmtId="0" fontId="13" fillId="4" borderId="64" xfId="0" applyFont="1" applyFill="1" applyBorder="1" applyAlignment="1">
      <alignment horizontal="center" wrapText="1"/>
    </xf>
    <xf numFmtId="49" fontId="0" fillId="0" borderId="0" xfId="0" applyNumberFormat="1"/>
    <xf numFmtId="49" fontId="13" fillId="4" borderId="55" xfId="0" applyNumberFormat="1" applyFont="1" applyFill="1" applyBorder="1" applyAlignment="1">
      <alignment horizontal="center"/>
    </xf>
    <xf numFmtId="4" fontId="39" fillId="0" borderId="49" xfId="709" applyNumberFormat="1" applyFont="1" applyBorder="1" applyAlignment="1">
      <alignment horizontal="center" vertical="center" wrapText="1"/>
    </xf>
    <xf numFmtId="4" fontId="39" fillId="0" borderId="49" xfId="773" applyNumberFormat="1" applyFont="1" applyBorder="1" applyAlignment="1">
      <alignment horizontal="center" vertical="center" wrapText="1"/>
    </xf>
    <xf numFmtId="4" fontId="39" fillId="0" borderId="50" xfId="773" applyNumberFormat="1" applyFont="1" applyBorder="1" applyAlignment="1">
      <alignment horizontal="center" vertical="center" wrapText="1"/>
    </xf>
    <xf numFmtId="0" fontId="13" fillId="4" borderId="17" xfId="0" applyFont="1" applyFill="1" applyBorder="1" applyAlignment="1">
      <alignment horizontal="center" vertical="center"/>
    </xf>
    <xf numFmtId="14" fontId="13" fillId="4" borderId="21" xfId="0" applyNumberFormat="1" applyFont="1" applyFill="1" applyBorder="1" applyAlignment="1">
      <alignment horizontal="center" vertical="center" wrapText="1"/>
    </xf>
    <xf numFmtId="0" fontId="13" fillId="4" borderId="17" xfId="0" applyFont="1" applyFill="1" applyBorder="1" applyAlignment="1">
      <alignment horizontal="center" wrapText="1"/>
    </xf>
    <xf numFmtId="14" fontId="13" fillId="4" borderId="21" xfId="0" applyNumberFormat="1" applyFont="1" applyFill="1" applyBorder="1" applyAlignment="1">
      <alignment vertical="center" wrapText="1"/>
    </xf>
    <xf numFmtId="14" fontId="13" fillId="4" borderId="22" xfId="0" applyNumberFormat="1" applyFont="1" applyFill="1" applyBorder="1" applyAlignment="1">
      <alignment vertical="center" wrapText="1"/>
    </xf>
    <xf numFmtId="0" fontId="13" fillId="4" borderId="41" xfId="0" applyFont="1" applyFill="1" applyBorder="1" applyAlignment="1">
      <alignment horizontal="center" wrapText="1"/>
    </xf>
    <xf numFmtId="4" fontId="14" fillId="0" borderId="27" xfId="0" applyNumberFormat="1" applyFont="1" applyBorder="1" applyAlignment="1">
      <alignment horizontal="center" vertical="center"/>
    </xf>
    <xf numFmtId="4" fontId="14" fillId="0" borderId="36" xfId="0" applyNumberFormat="1" applyFont="1" applyBorder="1" applyAlignment="1">
      <alignment horizontal="center" vertical="center"/>
    </xf>
    <xf numFmtId="3" fontId="14" fillId="0" borderId="49" xfId="0" quotePrefix="1" applyNumberFormat="1" applyFont="1" applyBorder="1" applyAlignment="1">
      <alignment horizontal="center" vertical="center"/>
    </xf>
    <xf numFmtId="3" fontId="14" fillId="0" borderId="50" xfId="0" quotePrefix="1" applyNumberFormat="1" applyFont="1" applyBorder="1" applyAlignment="1">
      <alignment horizontal="center" vertical="center"/>
    </xf>
    <xf numFmtId="4" fontId="14" fillId="0" borderId="49" xfId="0" applyNumberFormat="1" applyFont="1" applyBorder="1" applyAlignment="1">
      <alignment horizontal="center" vertical="center"/>
    </xf>
    <xf numFmtId="4" fontId="14" fillId="0" borderId="50" xfId="0" applyNumberFormat="1" applyFont="1" applyBorder="1" applyAlignment="1">
      <alignment horizontal="center" vertical="center"/>
    </xf>
    <xf numFmtId="0" fontId="13" fillId="4" borderId="42"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58" fillId="0" borderId="1" xfId="0" applyFont="1" applyBorder="1" applyAlignment="1">
      <alignment horizontal="center" wrapText="1"/>
    </xf>
    <xf numFmtId="4" fontId="3" fillId="0" borderId="0" xfId="0" applyNumberFormat="1" applyFont="1" applyBorder="1"/>
    <xf numFmtId="0" fontId="3" fillId="0" borderId="0" xfId="0" applyFont="1" applyBorder="1" applyAlignment="1">
      <alignment horizontal="center" vertical="center" wrapText="1"/>
    </xf>
    <xf numFmtId="0" fontId="37" fillId="0" borderId="0" xfId="0" applyFont="1" applyBorder="1" applyAlignment="1">
      <alignment horizontal="center"/>
    </xf>
    <xf numFmtId="4" fontId="14" fillId="0" borderId="1" xfId="0" applyNumberFormat="1" applyFont="1" applyBorder="1"/>
    <xf numFmtId="4" fontId="14" fillId="0" borderId="10" xfId="0" applyNumberFormat="1" applyFont="1" applyBorder="1"/>
    <xf numFmtId="4" fontId="14" fillId="0" borderId="11" xfId="0" applyNumberFormat="1" applyFont="1" applyBorder="1"/>
    <xf numFmtId="4" fontId="14" fillId="0" borderId="1" xfId="0" applyNumberFormat="1" applyFont="1" applyBorder="1" applyAlignment="1">
      <alignment vertical="center"/>
    </xf>
    <xf numFmtId="4" fontId="14" fillId="0" borderId="10" xfId="0" applyNumberFormat="1" applyFont="1" applyBorder="1" applyAlignment="1">
      <alignment vertical="center"/>
    </xf>
    <xf numFmtId="4" fontId="14" fillId="0" borderId="11" xfId="0" applyNumberFormat="1" applyFont="1" applyBorder="1" applyAlignment="1">
      <alignment vertical="center"/>
    </xf>
    <xf numFmtId="0" fontId="16" fillId="0" borderId="0" xfId="0" applyFont="1"/>
    <xf numFmtId="4" fontId="14" fillId="0" borderId="8" xfId="0" applyNumberFormat="1" applyFont="1" applyBorder="1" applyAlignment="1">
      <alignment vertical="center"/>
    </xf>
    <xf numFmtId="164" fontId="14" fillId="0" borderId="15" xfId="80" quotePrefix="1" applyFont="1" applyBorder="1" applyAlignment="1">
      <alignment horizontal="center" vertical="center"/>
    </xf>
    <xf numFmtId="164" fontId="14" fillId="0" borderId="27" xfId="80" quotePrefix="1" applyFont="1" applyBorder="1" applyAlignment="1">
      <alignment horizontal="center" vertical="center"/>
    </xf>
    <xf numFmtId="164" fontId="14" fillId="0" borderId="36" xfId="80" quotePrefix="1" applyFont="1" applyBorder="1" applyAlignment="1">
      <alignment horizontal="center" vertical="center"/>
    </xf>
    <xf numFmtId="0" fontId="3" fillId="0" borderId="52" xfId="0" applyFont="1" applyBorder="1" applyAlignment="1">
      <alignment horizontal="center"/>
    </xf>
    <xf numFmtId="0" fontId="3" fillId="0" borderId="52" xfId="0" applyFont="1" applyBorder="1" applyAlignment="1">
      <alignment horizontal="center" vertical="center"/>
    </xf>
    <xf numFmtId="0" fontId="12" fillId="0" borderId="4" xfId="0" applyFont="1" applyBorder="1"/>
    <xf numFmtId="0" fontId="3" fillId="3" borderId="0" xfId="0" applyFont="1" applyFill="1" applyBorder="1" applyProtection="1">
      <protection locked="0"/>
    </xf>
    <xf numFmtId="0" fontId="14" fillId="3" borderId="0" xfId="0" applyFont="1" applyFill="1" applyBorder="1" applyAlignment="1" applyProtection="1">
      <alignment horizontal="left"/>
      <protection locked="0"/>
    </xf>
    <xf numFmtId="14" fontId="14" fillId="3" borderId="0" xfId="0" applyNumberFormat="1" applyFont="1" applyFill="1" applyBorder="1" applyAlignment="1" applyProtection="1">
      <protection locked="0"/>
    </xf>
    <xf numFmtId="0" fontId="31" fillId="3" borderId="0" xfId="0" applyFont="1" applyFill="1" applyBorder="1" applyAlignment="1" applyProtection="1">
      <alignment horizontal="center"/>
      <protection locked="0"/>
    </xf>
    <xf numFmtId="0" fontId="63" fillId="0" borderId="62" xfId="709" applyFont="1" applyBorder="1" applyAlignment="1">
      <alignment horizontal="center" wrapText="1"/>
    </xf>
    <xf numFmtId="0" fontId="78" fillId="0" borderId="0" xfId="0" applyFont="1"/>
    <xf numFmtId="0" fontId="42" fillId="0" borderId="0" xfId="709" applyFont="1" applyBorder="1" applyAlignment="1" applyProtection="1">
      <protection locked="0"/>
    </xf>
    <xf numFmtId="0" fontId="78" fillId="0" borderId="0" xfId="0" applyFont="1" applyAlignment="1">
      <alignment horizontal="left" vertical="center" wrapText="1"/>
    </xf>
    <xf numFmtId="0" fontId="73" fillId="3" borderId="0" xfId="0" applyFont="1" applyFill="1" applyBorder="1" applyAlignment="1">
      <alignment horizontal="center" vertical="center" wrapText="1"/>
    </xf>
    <xf numFmtId="4" fontId="78" fillId="0" borderId="0" xfId="0" applyNumberFormat="1" applyFont="1" applyBorder="1" applyAlignment="1">
      <alignment horizontal="center"/>
    </xf>
    <xf numFmtId="4" fontId="78" fillId="0" borderId="0" xfId="0" applyNumberFormat="1" applyFont="1" applyBorder="1"/>
    <xf numFmtId="4" fontId="14" fillId="0" borderId="3" xfId="0" applyNumberFormat="1" applyFont="1" applyBorder="1"/>
    <xf numFmtId="4" fontId="14" fillId="0" borderId="18" xfId="0" applyNumberFormat="1" applyFont="1" applyBorder="1" applyAlignment="1">
      <alignment vertical="center"/>
    </xf>
    <xf numFmtId="4" fontId="14" fillId="0" borderId="18" xfId="0" applyNumberFormat="1" applyFont="1" applyBorder="1"/>
    <xf numFmtId="0" fontId="3" fillId="0" borderId="24" xfId="0" applyFont="1" applyBorder="1" applyAlignment="1">
      <alignment horizontal="center"/>
    </xf>
    <xf numFmtId="0" fontId="3" fillId="0" borderId="0" xfId="0" applyFont="1" applyBorder="1" applyAlignment="1">
      <alignment horizontal="left" vertical="center"/>
    </xf>
    <xf numFmtId="4" fontId="3" fillId="0" borderId="0" xfId="0" applyNumberFormat="1" applyFont="1" applyBorder="1" applyAlignment="1"/>
    <xf numFmtId="0" fontId="3" fillId="0" borderId="0" xfId="0" applyFont="1" applyBorder="1" applyAlignment="1">
      <alignment vertical="center"/>
    </xf>
    <xf numFmtId="4" fontId="68" fillId="0" borderId="0" xfId="0" applyNumberFormat="1" applyFont="1" applyBorder="1" applyAlignment="1"/>
    <xf numFmtId="0" fontId="71" fillId="0" borderId="0" xfId="0" applyFont="1" applyBorder="1"/>
    <xf numFmtId="0" fontId="3" fillId="0" borderId="0" xfId="0" applyFont="1" applyProtection="1">
      <protection locked="0"/>
    </xf>
    <xf numFmtId="0" fontId="82" fillId="3" borderId="0" xfId="0" applyFont="1" applyFill="1" applyBorder="1" applyAlignment="1">
      <alignment horizontal="center" vertical="center" wrapText="1"/>
    </xf>
    <xf numFmtId="0" fontId="39" fillId="0" borderId="23" xfId="709" applyFont="1" applyBorder="1" applyAlignment="1">
      <alignment horizontal="left"/>
    </xf>
    <xf numFmtId="4" fontId="14" fillId="0" borderId="13" xfId="0" applyNumberFormat="1" applyFont="1" applyBorder="1" applyAlignment="1">
      <alignment horizontal="center"/>
    </xf>
    <xf numFmtId="4" fontId="14" fillId="0" borderId="15" xfId="0" applyNumberFormat="1" applyFont="1" applyBorder="1" applyAlignment="1">
      <alignment horizontal="center"/>
    </xf>
    <xf numFmtId="0" fontId="13" fillId="4" borderId="54"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19" xfId="0" applyFont="1" applyFill="1" applyBorder="1" applyAlignment="1">
      <alignment horizontal="center" vertical="center" wrapText="1"/>
    </xf>
    <xf numFmtId="0" fontId="13" fillId="4" borderId="20" xfId="0" applyFont="1" applyFill="1" applyBorder="1" applyAlignment="1">
      <alignment horizontal="center" vertical="center" wrapText="1"/>
    </xf>
    <xf numFmtId="4" fontId="14" fillId="0" borderId="56" xfId="0" applyNumberFormat="1" applyFont="1" applyBorder="1" applyAlignment="1">
      <alignment horizontal="center"/>
    </xf>
    <xf numFmtId="4" fontId="14" fillId="0" borderId="36" xfId="0" applyNumberFormat="1" applyFont="1" applyBorder="1" applyAlignment="1">
      <alignment horizontal="center"/>
    </xf>
    <xf numFmtId="0" fontId="14" fillId="4" borderId="7" xfId="0" applyFont="1" applyFill="1" applyBorder="1" applyAlignment="1">
      <alignment horizontal="center"/>
    </xf>
    <xf numFmtId="0" fontId="14" fillId="4" borderId="12" xfId="0" applyFont="1" applyFill="1" applyBorder="1" applyAlignment="1">
      <alignment horizontal="center"/>
    </xf>
    <xf numFmtId="0" fontId="16" fillId="4" borderId="47" xfId="0" applyFont="1" applyFill="1" applyBorder="1" applyAlignment="1">
      <alignment horizontal="left" wrapText="1" shrinkToFit="1"/>
    </xf>
    <xf numFmtId="0" fontId="3" fillId="0" borderId="0" xfId="0" applyFont="1" applyBorder="1" applyAlignment="1">
      <alignment horizontal="center" vertical="center" wrapText="1"/>
    </xf>
    <xf numFmtId="0" fontId="36" fillId="4" borderId="52" xfId="709" applyFont="1" applyFill="1" applyBorder="1" applyAlignment="1">
      <alignment vertical="center"/>
    </xf>
    <xf numFmtId="0" fontId="36" fillId="4" borderId="53" xfId="709" applyFont="1" applyFill="1" applyBorder="1" applyAlignment="1">
      <alignment vertical="center"/>
    </xf>
    <xf numFmtId="0" fontId="38" fillId="4" borderId="52" xfId="709" applyFont="1" applyFill="1" applyBorder="1" applyAlignment="1">
      <alignment vertical="center"/>
    </xf>
    <xf numFmtId="0" fontId="63" fillId="0" borderId="54" xfId="709" applyFont="1" applyBorder="1" applyAlignment="1">
      <alignment horizontal="center" vertical="top" wrapText="1"/>
    </xf>
    <xf numFmtId="168" fontId="62" fillId="0" borderId="54" xfId="773" applyFont="1" applyBorder="1" applyAlignment="1">
      <alignment horizontal="center" wrapText="1"/>
    </xf>
    <xf numFmtId="168" fontId="62" fillId="0" borderId="68" xfId="773" applyFont="1" applyBorder="1" applyAlignment="1">
      <alignment horizontal="center" wrapText="1"/>
    </xf>
    <xf numFmtId="0" fontId="17" fillId="3" borderId="23" xfId="0" applyFont="1" applyFill="1" applyBorder="1" applyAlignment="1">
      <alignment horizontal="center" vertical="center"/>
    </xf>
    <xf numFmtId="0" fontId="62" fillId="4" borderId="47" xfId="709" applyFont="1" applyFill="1" applyBorder="1" applyAlignment="1"/>
    <xf numFmtId="0" fontId="62" fillId="4" borderId="48" xfId="709" applyFont="1" applyFill="1" applyBorder="1" applyAlignment="1"/>
    <xf numFmtId="0" fontId="16" fillId="4" borderId="21" xfId="0" applyFont="1" applyFill="1" applyBorder="1" applyAlignment="1">
      <alignment vertical="center" wrapText="1" shrinkToFit="1"/>
    </xf>
    <xf numFmtId="0" fontId="16" fillId="4" borderId="24" xfId="0" applyFont="1" applyFill="1" applyBorder="1" applyAlignment="1">
      <alignment vertical="center" wrapText="1" shrinkToFit="1"/>
    </xf>
    <xf numFmtId="0" fontId="16" fillId="4" borderId="16" xfId="0" applyFont="1" applyFill="1" applyBorder="1" applyAlignment="1">
      <alignment vertical="center" wrapText="1" shrinkToFit="1"/>
    </xf>
    <xf numFmtId="0" fontId="16" fillId="4" borderId="23" xfId="0" applyFont="1" applyFill="1" applyBorder="1" applyAlignment="1">
      <alignment vertical="center" wrapText="1" shrinkToFit="1"/>
    </xf>
    <xf numFmtId="0" fontId="17" fillId="4" borderId="20" xfId="0" applyFont="1" applyFill="1" applyBorder="1" applyAlignment="1">
      <alignment horizontal="center"/>
    </xf>
    <xf numFmtId="0" fontId="17" fillId="4" borderId="42" xfId="0" applyFont="1" applyFill="1" applyBorder="1" applyAlignment="1">
      <alignment horizontal="center"/>
    </xf>
    <xf numFmtId="4" fontId="16" fillId="3" borderId="43" xfId="0" applyNumberFormat="1" applyFont="1" applyFill="1" applyBorder="1" applyAlignment="1">
      <alignment horizontal="center" vertical="center"/>
    </xf>
    <xf numFmtId="0" fontId="69" fillId="3" borderId="0" xfId="0" applyFont="1" applyFill="1" applyBorder="1" applyAlignment="1">
      <alignment vertical="top" wrapText="1"/>
    </xf>
    <xf numFmtId="0" fontId="16" fillId="3" borderId="0" xfId="0" applyFont="1" applyFill="1" applyBorder="1" applyAlignment="1">
      <alignment vertical="center" wrapText="1"/>
    </xf>
    <xf numFmtId="4" fontId="14" fillId="0" borderId="39" xfId="0" applyNumberFormat="1" applyFont="1" applyBorder="1"/>
    <xf numFmtId="14" fontId="13" fillId="4" borderId="10" xfId="0" applyNumberFormat="1" applyFont="1" applyFill="1" applyBorder="1" applyAlignment="1">
      <alignment horizontal="center" vertical="center" wrapText="1"/>
    </xf>
    <xf numFmtId="4" fontId="14" fillId="0" borderId="33" xfId="0" applyNumberFormat="1" applyFont="1" applyBorder="1"/>
    <xf numFmtId="4" fontId="14" fillId="0" borderId="3" xfId="0" applyNumberFormat="1" applyFont="1" applyBorder="1" applyAlignment="1">
      <alignment vertical="center"/>
    </xf>
    <xf numFmtId="4" fontId="14" fillId="0" borderId="39" xfId="0" applyNumberFormat="1" applyFont="1" applyBorder="1" applyAlignment="1">
      <alignment vertical="center"/>
    </xf>
    <xf numFmtId="4" fontId="14" fillId="0" borderId="37" xfId="0" applyNumberFormat="1" applyFont="1" applyBorder="1" applyAlignment="1">
      <alignment vertical="center"/>
    </xf>
    <xf numFmtId="49" fontId="13" fillId="4" borderId="10" xfId="0" applyNumberFormat="1" applyFont="1" applyFill="1" applyBorder="1" applyAlignment="1">
      <alignment horizontal="center" vertical="center" wrapText="1"/>
    </xf>
    <xf numFmtId="10" fontId="14" fillId="4" borderId="11" xfId="0" applyNumberFormat="1" applyFont="1" applyFill="1" applyBorder="1" applyAlignment="1">
      <alignment vertical="center" wrapText="1"/>
    </xf>
    <xf numFmtId="4" fontId="14" fillId="0" borderId="33" xfId="0" applyNumberFormat="1" applyFont="1" applyBorder="1" applyAlignment="1">
      <alignment vertical="center"/>
    </xf>
    <xf numFmtId="4" fontId="14" fillId="4" borderId="6" xfId="0" applyNumberFormat="1" applyFont="1" applyFill="1" applyBorder="1" applyAlignment="1">
      <alignment horizontal="center" vertical="center"/>
    </xf>
    <xf numFmtId="4" fontId="14" fillId="4" borderId="8" xfId="0" applyNumberFormat="1" applyFont="1" applyFill="1" applyBorder="1" applyAlignment="1">
      <alignment horizontal="center"/>
    </xf>
    <xf numFmtId="4" fontId="14" fillId="4" borderId="8" xfId="0" applyNumberFormat="1" applyFont="1" applyFill="1" applyBorder="1" applyAlignment="1">
      <alignment horizontal="center" vertical="center"/>
    </xf>
    <xf numFmtId="4" fontId="14" fillId="4" borderId="11" xfId="0" applyNumberFormat="1" applyFont="1" applyFill="1" applyBorder="1" applyAlignment="1">
      <alignment horizontal="center" vertical="center"/>
    </xf>
    <xf numFmtId="4" fontId="78" fillId="0" borderId="24" xfId="0" applyNumberFormat="1" applyFont="1" applyBorder="1" applyAlignment="1">
      <alignment horizontal="right"/>
    </xf>
    <xf numFmtId="0" fontId="78" fillId="4" borderId="43" xfId="0" applyFont="1" applyFill="1" applyBorder="1" applyAlignment="1">
      <alignment horizontal="center" vertical="center"/>
    </xf>
    <xf numFmtId="4" fontId="78" fillId="0" borderId="77" xfId="0" applyNumberFormat="1" applyFont="1" applyBorder="1" applyAlignment="1">
      <alignment horizontal="center"/>
    </xf>
    <xf numFmtId="4" fontId="78" fillId="0" borderId="78" xfId="0" applyNumberFormat="1" applyFont="1" applyBorder="1" applyAlignment="1">
      <alignment horizontal="center"/>
    </xf>
    <xf numFmtId="4" fontId="78" fillId="0" borderId="77" xfId="0" applyNumberFormat="1" applyFont="1" applyBorder="1" applyAlignment="1">
      <alignment horizontal="center"/>
    </xf>
    <xf numFmtId="14" fontId="80" fillId="8" borderId="18" xfId="0" applyNumberFormat="1" applyFont="1" applyFill="1" applyBorder="1" applyAlignment="1">
      <alignment horizontal="center" vertical="center" wrapText="1"/>
    </xf>
    <xf numFmtId="49" fontId="81" fillId="4" borderId="10" xfId="0" applyNumberFormat="1" applyFont="1" applyFill="1" applyBorder="1" applyAlignment="1">
      <alignment horizontal="center" vertical="center" wrapText="1"/>
    </xf>
    <xf numFmtId="4" fontId="78" fillId="3" borderId="10" xfId="0" applyNumberFormat="1" applyFont="1" applyFill="1" applyBorder="1" applyAlignment="1">
      <alignment horizontal="center"/>
    </xf>
    <xf numFmtId="4" fontId="78" fillId="3" borderId="11" xfId="0" applyNumberFormat="1" applyFont="1" applyFill="1" applyBorder="1" applyAlignment="1">
      <alignment horizontal="center"/>
    </xf>
    <xf numFmtId="0" fontId="75" fillId="4" borderId="50" xfId="0" applyFont="1" applyFill="1" applyBorder="1" applyAlignment="1">
      <alignment horizontal="center" vertical="center"/>
    </xf>
    <xf numFmtId="4" fontId="78" fillId="3" borderId="39" xfId="0" applyNumberFormat="1" applyFont="1" applyFill="1" applyBorder="1" applyAlignment="1">
      <alignment horizontal="center"/>
    </xf>
    <xf numFmtId="4" fontId="78" fillId="3" borderId="37" xfId="0" applyNumberFormat="1" applyFont="1" applyFill="1" applyBorder="1" applyAlignment="1">
      <alignment horizontal="center"/>
    </xf>
    <xf numFmtId="0" fontId="75" fillId="4" borderId="10" xfId="0" applyFont="1" applyFill="1" applyBorder="1" applyAlignment="1">
      <alignment horizontal="center" vertical="center" wrapText="1"/>
    </xf>
    <xf numFmtId="0" fontId="75" fillId="4" borderId="11" xfId="0" applyFont="1" applyFill="1" applyBorder="1" applyAlignment="1">
      <alignment horizontal="center" vertical="center" wrapText="1"/>
    </xf>
    <xf numFmtId="4" fontId="78" fillId="0" borderId="32" xfId="0" applyNumberFormat="1" applyFont="1" applyBorder="1" applyAlignment="1">
      <alignment horizontal="center"/>
    </xf>
    <xf numFmtId="14" fontId="80" fillId="8" borderId="9" xfId="0" applyNumberFormat="1" applyFont="1" applyFill="1" applyBorder="1" applyAlignment="1">
      <alignment horizontal="center" vertical="center" wrapText="1"/>
    </xf>
    <xf numFmtId="4" fontId="78" fillId="0" borderId="33" xfId="0" applyNumberFormat="1" applyFont="1" applyBorder="1" applyAlignment="1" applyProtection="1">
      <alignment horizontal="center"/>
      <protection locked="0"/>
    </xf>
    <xf numFmtId="4" fontId="78" fillId="0" borderId="18" xfId="0" applyNumberFormat="1" applyFont="1" applyBorder="1" applyAlignment="1" applyProtection="1">
      <alignment horizontal="center"/>
      <protection locked="0"/>
    </xf>
    <xf numFmtId="0" fontId="78" fillId="4" borderId="62" xfId="0" applyFont="1" applyFill="1" applyBorder="1" applyAlignment="1" applyProtection="1">
      <alignment horizontal="center" vertical="center"/>
      <protection locked="0"/>
    </xf>
    <xf numFmtId="0" fontId="78" fillId="4" borderId="50" xfId="0" applyFont="1" applyFill="1" applyBorder="1" applyAlignment="1" applyProtection="1">
      <alignment horizontal="center" vertical="center"/>
      <protection locked="0"/>
    </xf>
    <xf numFmtId="0" fontId="78" fillId="4" borderId="50" xfId="0" applyFont="1" applyFill="1" applyBorder="1" applyAlignment="1">
      <alignment horizontal="center" vertical="center" wrapText="1"/>
    </xf>
    <xf numFmtId="0" fontId="75" fillId="4" borderId="46" xfId="0" applyFont="1" applyFill="1" applyBorder="1" applyAlignment="1">
      <alignment horizontal="center" vertical="center"/>
    </xf>
    <xf numFmtId="14" fontId="33" fillId="8" borderId="18" xfId="0" applyNumberFormat="1" applyFont="1" applyFill="1" applyBorder="1" applyAlignment="1">
      <alignment horizontal="center" vertical="center" wrapText="1"/>
    </xf>
    <xf numFmtId="14" fontId="13" fillId="4" borderId="18" xfId="0" applyNumberFormat="1" applyFont="1" applyFill="1" applyBorder="1" applyAlignment="1">
      <alignment horizontal="center" vertical="center" wrapText="1"/>
    </xf>
    <xf numFmtId="0" fontId="36" fillId="3" borderId="0" xfId="709" applyFont="1" applyFill="1" applyBorder="1" applyAlignment="1"/>
    <xf numFmtId="10" fontId="53" fillId="4" borderId="62" xfId="774" applyNumberFormat="1" applyFont="1" applyFill="1" applyBorder="1" applyAlignment="1">
      <alignment horizontal="center" vertical="center"/>
    </xf>
    <xf numFmtId="0" fontId="73" fillId="3" borderId="0" xfId="0" applyFont="1" applyFill="1" applyBorder="1" applyAlignment="1" applyProtection="1">
      <alignment vertical="top" wrapText="1"/>
    </xf>
    <xf numFmtId="0" fontId="78" fillId="4" borderId="41" xfId="0" applyFont="1" applyFill="1" applyBorder="1" applyAlignment="1">
      <alignment horizontal="center" vertical="center"/>
    </xf>
    <xf numFmtId="0" fontId="78" fillId="0" borderId="46" xfId="0" applyFont="1" applyBorder="1" applyAlignment="1">
      <alignment horizontal="center" vertical="center"/>
    </xf>
    <xf numFmtId="0" fontId="78" fillId="0" borderId="49" xfId="0" applyFont="1" applyBorder="1" applyAlignment="1">
      <alignment horizontal="center" vertical="center"/>
    </xf>
    <xf numFmtId="0" fontId="78" fillId="0" borderId="50" xfId="0" applyFont="1" applyBorder="1" applyAlignment="1">
      <alignment horizontal="center" vertical="center"/>
    </xf>
    <xf numFmtId="4" fontId="78" fillId="0" borderId="10" xfId="0" applyNumberFormat="1" applyFont="1" applyBorder="1" applyAlignment="1" applyProtection="1">
      <alignment horizontal="center"/>
    </xf>
    <xf numFmtId="4" fontId="78" fillId="0" borderId="39" xfId="0" applyNumberFormat="1" applyFont="1" applyBorder="1" applyAlignment="1" applyProtection="1">
      <alignment horizontal="center"/>
    </xf>
    <xf numFmtId="168" fontId="62" fillId="0" borderId="43" xfId="773" applyFont="1" applyBorder="1" applyAlignment="1">
      <alignment horizontal="center" vertical="center" wrapText="1"/>
    </xf>
    <xf numFmtId="168" fontId="62" fillId="0" borderId="36" xfId="773" applyFont="1" applyBorder="1" applyAlignment="1">
      <alignment horizontal="center" vertical="center" wrapText="1"/>
    </xf>
    <xf numFmtId="10" fontId="72" fillId="4" borderId="55" xfId="774" applyNumberFormat="1" applyFont="1" applyFill="1" applyBorder="1" applyAlignment="1">
      <alignment horizontal="center" vertical="center" wrapText="1"/>
    </xf>
    <xf numFmtId="0" fontId="53" fillId="4" borderId="62" xfId="709" applyFont="1" applyFill="1" applyBorder="1" applyAlignment="1">
      <alignment horizontal="center" vertical="center" wrapText="1"/>
    </xf>
    <xf numFmtId="0" fontId="84" fillId="0" borderId="0" xfId="0" applyFont="1"/>
    <xf numFmtId="0" fontId="18" fillId="0" borderId="24" xfId="0" applyFont="1" applyBorder="1" applyAlignment="1">
      <alignment horizontal="center"/>
    </xf>
    <xf numFmtId="0" fontId="18" fillId="0" borderId="0" xfId="0" applyFont="1" applyBorder="1" applyAlignment="1">
      <alignment horizontal="center"/>
    </xf>
    <xf numFmtId="0" fontId="0" fillId="0" borderId="0" xfId="0" applyAlignment="1">
      <alignment horizontal="center"/>
    </xf>
    <xf numFmtId="0" fontId="0" fillId="0" borderId="52" xfId="0" applyBorder="1" applyAlignment="1">
      <alignment horizontal="center" vertical="top" wrapText="1"/>
    </xf>
    <xf numFmtId="0" fontId="0" fillId="0" borderId="52" xfId="0" applyBorder="1" applyAlignment="1">
      <alignment horizontal="center"/>
    </xf>
    <xf numFmtId="10" fontId="13" fillId="4" borderId="23" xfId="0" applyNumberFormat="1" applyFont="1" applyFill="1" applyBorder="1" applyAlignment="1">
      <alignment horizontal="left" vertical="center"/>
    </xf>
    <xf numFmtId="10" fontId="13" fillId="4" borderId="17" xfId="0" applyNumberFormat="1" applyFont="1" applyFill="1" applyBorder="1" applyAlignment="1">
      <alignment vertical="center"/>
    </xf>
    <xf numFmtId="0" fontId="19" fillId="0" borderId="0" xfId="0" applyFont="1" applyFill="1" applyBorder="1" applyAlignment="1"/>
    <xf numFmtId="0" fontId="26" fillId="0" borderId="0" xfId="0" applyFont="1" applyFill="1" applyBorder="1" applyAlignment="1"/>
    <xf numFmtId="0" fontId="0" fillId="0" borderId="0" xfId="0" applyFill="1" applyBorder="1" applyAlignment="1">
      <alignment vertical="top" wrapText="1"/>
    </xf>
    <xf numFmtId="0" fontId="0" fillId="0" borderId="0" xfId="0" applyFill="1" applyBorder="1" applyAlignment="1">
      <alignment horizontal="center" vertical="top" wrapText="1"/>
    </xf>
    <xf numFmtId="0" fontId="0" fillId="0" borderId="0" xfId="0" applyFill="1" applyBorder="1" applyAlignment="1">
      <alignment horizontal="center"/>
    </xf>
    <xf numFmtId="0" fontId="0" fillId="0" borderId="0" xfId="0" applyFill="1" applyBorder="1"/>
    <xf numFmtId="0" fontId="0" fillId="0" borderId="0" xfId="0" applyFill="1" applyBorder="1" applyAlignment="1"/>
    <xf numFmtId="0" fontId="0" fillId="0" borderId="0" xfId="0" applyFill="1"/>
    <xf numFmtId="0" fontId="0" fillId="0" borderId="1" xfId="0" applyBorder="1" applyAlignment="1">
      <alignment horizontal="center"/>
    </xf>
    <xf numFmtId="0" fontId="0" fillId="0" borderId="75" xfId="0" applyBorder="1" applyAlignment="1">
      <alignment horizontal="center"/>
    </xf>
    <xf numFmtId="0" fontId="0" fillId="0" borderId="76" xfId="0" applyBorder="1" applyAlignment="1">
      <alignment horizontal="center"/>
    </xf>
    <xf numFmtId="0" fontId="12" fillId="3" borderId="0" xfId="0" applyFont="1" applyFill="1" applyBorder="1" applyAlignment="1">
      <alignment horizontal="center"/>
    </xf>
    <xf numFmtId="14" fontId="12" fillId="0" borderId="7" xfId="0" applyNumberFormat="1" applyFont="1" applyBorder="1" applyAlignment="1">
      <alignment horizontal="center"/>
    </xf>
    <xf numFmtId="0" fontId="12" fillId="0" borderId="8" xfId="0" applyFont="1" applyBorder="1"/>
    <xf numFmtId="164" fontId="39" fillId="0" borderId="50" xfId="80" applyFont="1" applyBorder="1" applyAlignment="1">
      <alignment vertical="center" wrapText="1"/>
    </xf>
    <xf numFmtId="164" fontId="39" fillId="0" borderId="44" xfId="80" applyFont="1" applyBorder="1" applyAlignment="1">
      <alignment vertical="center" wrapText="1"/>
    </xf>
    <xf numFmtId="164" fontId="39" fillId="0" borderId="49" xfId="80" applyFont="1" applyBorder="1" applyAlignment="1">
      <alignment vertical="center" wrapText="1"/>
    </xf>
    <xf numFmtId="49" fontId="13" fillId="4" borderId="11" xfId="0" applyNumberFormat="1" applyFont="1" applyFill="1" applyBorder="1" applyAlignment="1">
      <alignment horizontal="center" vertical="center" wrapText="1"/>
    </xf>
    <xf numFmtId="49" fontId="81" fillId="4" borderId="35" xfId="0" applyNumberFormat="1" applyFont="1" applyFill="1" applyBorder="1" applyAlignment="1">
      <alignment horizontal="center" vertical="center" wrapText="1"/>
    </xf>
    <xf numFmtId="0" fontId="12" fillId="3" borderId="0" xfId="0" applyFont="1" applyFill="1" applyBorder="1" applyAlignment="1">
      <alignment horizontal="left"/>
    </xf>
    <xf numFmtId="0" fontId="14" fillId="0" borderId="0" xfId="0" applyNumberFormat="1" applyFont="1" applyBorder="1" applyAlignment="1">
      <alignment horizontal="center"/>
    </xf>
    <xf numFmtId="14" fontId="41" fillId="4" borderId="21" xfId="709" applyNumberFormat="1" applyFont="1" applyFill="1" applyBorder="1" applyAlignment="1">
      <alignment horizontal="center" vertical="top" wrapText="1"/>
    </xf>
    <xf numFmtId="14" fontId="41" fillId="4" borderId="22" xfId="709" applyNumberFormat="1" applyFont="1" applyFill="1" applyBorder="1" applyAlignment="1">
      <alignment horizontal="center" vertical="top" wrapText="1"/>
    </xf>
    <xf numFmtId="164" fontId="14" fillId="0" borderId="13" xfId="80" applyFont="1" applyBorder="1" applyAlignment="1">
      <alignment vertical="center"/>
    </xf>
    <xf numFmtId="164" fontId="14" fillId="0" borderId="15" xfId="80" applyFont="1" applyBorder="1" applyAlignment="1">
      <alignment vertical="center"/>
    </xf>
    <xf numFmtId="164" fontId="14" fillId="0" borderId="56" xfId="80" applyFont="1" applyBorder="1" applyAlignment="1">
      <alignment vertical="center"/>
    </xf>
    <xf numFmtId="164" fontId="14" fillId="0" borderId="36" xfId="80" applyFont="1" applyBorder="1" applyAlignment="1">
      <alignment vertical="center"/>
    </xf>
    <xf numFmtId="164" fontId="14" fillId="0" borderId="51" xfId="80" applyFont="1" applyBorder="1" applyAlignment="1">
      <alignment vertical="center"/>
    </xf>
    <xf numFmtId="164" fontId="14" fillId="0" borderId="53" xfId="80" applyFont="1" applyBorder="1" applyAlignment="1">
      <alignment vertical="center"/>
    </xf>
    <xf numFmtId="0" fontId="32" fillId="0" borderId="46" xfId="0" applyFont="1" applyBorder="1" applyAlignment="1">
      <alignment horizontal="center"/>
    </xf>
    <xf numFmtId="0" fontId="32" fillId="0" borderId="41" xfId="0" applyFont="1" applyBorder="1" applyAlignment="1">
      <alignment horizontal="center"/>
    </xf>
    <xf numFmtId="0" fontId="20" fillId="4" borderId="16" xfId="0" applyFont="1" applyFill="1" applyBorder="1" applyAlignment="1">
      <alignment wrapText="1"/>
    </xf>
    <xf numFmtId="0" fontId="20" fillId="4" borderId="19" xfId="0" applyFont="1" applyFill="1" applyBorder="1" applyAlignment="1">
      <alignment wrapText="1"/>
    </xf>
    <xf numFmtId="0" fontId="20" fillId="4" borderId="21" xfId="0" applyFont="1" applyFill="1" applyBorder="1" applyAlignment="1">
      <alignment wrapText="1"/>
    </xf>
    <xf numFmtId="0" fontId="20" fillId="4" borderId="17" xfId="0" applyFont="1" applyFill="1" applyBorder="1" applyAlignment="1">
      <alignment wrapText="1"/>
    </xf>
    <xf numFmtId="0" fontId="20" fillId="4" borderId="20" xfId="0" applyFont="1" applyFill="1" applyBorder="1" applyAlignment="1">
      <alignment wrapText="1"/>
    </xf>
    <xf numFmtId="0" fontId="20" fillId="4" borderId="22" xfId="0" applyFont="1" applyFill="1" applyBorder="1" applyAlignment="1">
      <alignment wrapText="1"/>
    </xf>
    <xf numFmtId="164" fontId="14" fillId="0" borderId="62" xfId="80" applyFont="1" applyBorder="1" applyAlignment="1">
      <alignment vertical="center"/>
    </xf>
    <xf numFmtId="164" fontId="14" fillId="0" borderId="50" xfId="80" applyFont="1" applyBorder="1" applyAlignment="1">
      <alignment vertical="center"/>
    </xf>
    <xf numFmtId="164" fontId="14" fillId="0" borderId="41" xfId="80" applyFont="1" applyBorder="1" applyAlignment="1">
      <alignment vertical="center"/>
    </xf>
    <xf numFmtId="3" fontId="14" fillId="3" borderId="56" xfId="0" applyNumberFormat="1" applyFont="1" applyFill="1" applyBorder="1" applyAlignment="1">
      <alignment horizontal="center" vertical="center"/>
    </xf>
    <xf numFmtId="3" fontId="14" fillId="3" borderId="36" xfId="0" applyNumberFormat="1" applyFont="1" applyFill="1" applyBorder="1" applyAlignment="1">
      <alignment horizontal="center" vertical="center"/>
    </xf>
    <xf numFmtId="0" fontId="61" fillId="0" borderId="0" xfId="0" applyFont="1" applyAlignment="1">
      <alignment horizontal="left" vertical="justify" wrapText="1"/>
    </xf>
    <xf numFmtId="0" fontId="33" fillId="6" borderId="51" xfId="0" applyFont="1" applyFill="1" applyBorder="1" applyAlignment="1">
      <alignment horizontal="center" vertical="center"/>
    </xf>
    <xf numFmtId="0" fontId="14" fillId="4" borderId="44" xfId="0" applyFont="1" applyFill="1" applyBorder="1" applyAlignment="1">
      <alignment horizontal="center" vertical="center"/>
    </xf>
    <xf numFmtId="0" fontId="14" fillId="4" borderId="49" xfId="0" applyFont="1" applyFill="1" applyBorder="1" applyAlignment="1">
      <alignment horizontal="center" vertical="center"/>
    </xf>
    <xf numFmtId="0" fontId="14" fillId="4" borderId="46" xfId="0" applyFont="1" applyFill="1" applyBorder="1" applyAlignment="1">
      <alignment horizontal="center" vertical="center"/>
    </xf>
    <xf numFmtId="0" fontId="14" fillId="4" borderId="34" xfId="0" applyFont="1" applyFill="1" applyBorder="1" applyAlignment="1">
      <alignment horizontal="center" vertical="center"/>
    </xf>
    <xf numFmtId="14" fontId="14" fillId="4" borderId="44" xfId="0" applyNumberFormat="1" applyFont="1" applyFill="1" applyBorder="1" applyAlignment="1">
      <alignment horizontal="center"/>
    </xf>
    <xf numFmtId="14" fontId="14" fillId="4" borderId="56" xfId="0" applyNumberFormat="1" applyFont="1" applyFill="1" applyBorder="1" applyAlignment="1">
      <alignment horizontal="center"/>
    </xf>
    <xf numFmtId="14" fontId="14" fillId="4" borderId="49" xfId="0" applyNumberFormat="1" applyFont="1" applyFill="1" applyBorder="1" applyAlignment="1">
      <alignment horizontal="center"/>
    </xf>
    <xf numFmtId="14" fontId="14" fillId="4" borderId="50" xfId="0" applyNumberFormat="1" applyFont="1" applyFill="1" applyBorder="1" applyAlignment="1">
      <alignment horizontal="center"/>
    </xf>
    <xf numFmtId="14" fontId="13" fillId="4" borderId="43" xfId="0" applyNumberFormat="1" applyFont="1" applyFill="1" applyBorder="1" applyAlignment="1">
      <alignment horizontal="center" vertical="center" wrapText="1"/>
    </xf>
    <xf numFmtId="14" fontId="13" fillId="4" borderId="22" xfId="0" applyNumberFormat="1" applyFont="1" applyFill="1" applyBorder="1" applyAlignment="1">
      <alignment horizontal="center" vertical="center"/>
    </xf>
    <xf numFmtId="14" fontId="14" fillId="3" borderId="0" xfId="0" applyNumberFormat="1" applyFont="1" applyFill="1" applyBorder="1" applyAlignment="1">
      <alignment horizontal="left" vertical="top" wrapText="1"/>
    </xf>
    <xf numFmtId="14" fontId="12" fillId="0" borderId="31" xfId="0" applyNumberFormat="1" applyFont="1" applyBorder="1" applyAlignment="1">
      <alignment horizontal="center"/>
    </xf>
    <xf numFmtId="0" fontId="12" fillId="0" borderId="55" xfId="0" applyFont="1" applyBorder="1"/>
    <xf numFmtId="0" fontId="87" fillId="0" borderId="0" xfId="0" applyFont="1"/>
    <xf numFmtId="0" fontId="88" fillId="0" borderId="0" xfId="0" applyFont="1" applyBorder="1"/>
    <xf numFmtId="0" fontId="88" fillId="0" borderId="0" xfId="0" applyFont="1"/>
    <xf numFmtId="0" fontId="87" fillId="3" borderId="0" xfId="0" applyFont="1" applyFill="1"/>
    <xf numFmtId="0" fontId="16" fillId="4" borderId="22" xfId="0" applyFont="1" applyFill="1" applyBorder="1" applyAlignment="1">
      <alignment horizontal="center" vertical="center"/>
    </xf>
    <xf numFmtId="0" fontId="12" fillId="3" borderId="0" xfId="0" applyFont="1" applyFill="1" applyBorder="1" applyAlignment="1">
      <alignment horizontal="left"/>
    </xf>
    <xf numFmtId="164" fontId="39" fillId="0" borderId="46" xfId="80" applyFont="1" applyBorder="1" applyAlignment="1">
      <alignment vertical="center" wrapText="1"/>
    </xf>
    <xf numFmtId="0" fontId="47" fillId="0" borderId="0" xfId="709" applyFont="1" applyAlignment="1">
      <alignment horizontal="center"/>
    </xf>
    <xf numFmtId="0" fontId="39" fillId="4" borderId="47" xfId="0" applyFont="1" applyFill="1" applyBorder="1" applyAlignment="1">
      <alignment horizontal="left" vertical="center" wrapText="1" shrinkToFit="1"/>
    </xf>
    <xf numFmtId="4" fontId="39" fillId="0" borderId="68" xfId="773" applyNumberFormat="1" applyFont="1" applyBorder="1" applyAlignment="1">
      <alignment horizontal="center" vertical="center" wrapText="1"/>
    </xf>
    <xf numFmtId="164" fontId="39" fillId="0" borderId="1" xfId="80" applyFont="1" applyBorder="1" applyAlignment="1">
      <alignment vertical="center" wrapText="1"/>
    </xf>
    <xf numFmtId="4" fontId="39" fillId="0" borderId="1" xfId="773" applyNumberFormat="1" applyFont="1" applyBorder="1" applyAlignment="1">
      <alignment horizontal="center" vertical="center" wrapText="1"/>
    </xf>
    <xf numFmtId="164" fontId="39" fillId="0" borderId="8" xfId="80" applyFont="1" applyBorder="1" applyAlignment="1">
      <alignment vertical="center" wrapText="1"/>
    </xf>
    <xf numFmtId="4" fontId="39" fillId="0" borderId="10" xfId="773" applyNumberFormat="1" applyFont="1" applyBorder="1" applyAlignment="1">
      <alignment horizontal="center" vertical="center" wrapText="1"/>
    </xf>
    <xf numFmtId="164" fontId="39" fillId="0" borderId="10" xfId="80" applyFont="1" applyBorder="1" applyAlignment="1">
      <alignment vertical="center" wrapText="1"/>
    </xf>
    <xf numFmtId="164" fontId="39" fillId="0" borderId="11" xfId="80" applyFont="1" applyBorder="1" applyAlignment="1">
      <alignment vertical="center" wrapText="1"/>
    </xf>
    <xf numFmtId="0" fontId="39" fillId="4" borderId="44" xfId="709" applyFont="1" applyFill="1" applyBorder="1" applyAlignment="1">
      <alignment horizontal="center" vertical="center" wrapText="1"/>
    </xf>
    <xf numFmtId="164" fontId="39" fillId="0" borderId="3" xfId="80" applyFont="1" applyBorder="1" applyAlignment="1">
      <alignment vertical="center" wrapText="1"/>
    </xf>
    <xf numFmtId="164" fontId="39" fillId="0" borderId="18" xfId="80" applyFont="1" applyBorder="1" applyAlignment="1">
      <alignment vertical="center" wrapText="1"/>
    </xf>
    <xf numFmtId="4" fontId="39" fillId="0" borderId="7" xfId="773" applyNumberFormat="1" applyFont="1" applyBorder="1" applyAlignment="1">
      <alignment horizontal="center" vertical="center" wrapText="1"/>
    </xf>
    <xf numFmtId="4" fontId="39" fillId="0" borderId="8" xfId="773" applyNumberFormat="1" applyFont="1" applyBorder="1" applyAlignment="1">
      <alignment horizontal="center" vertical="center" wrapText="1"/>
    </xf>
    <xf numFmtId="4" fontId="39" fillId="0" borderId="9" xfId="773" applyNumberFormat="1" applyFont="1" applyBorder="1" applyAlignment="1">
      <alignment horizontal="center" vertical="center" wrapText="1"/>
    </xf>
    <xf numFmtId="4" fontId="39" fillId="3" borderId="9" xfId="773" applyNumberFormat="1" applyFont="1" applyFill="1" applyBorder="1" applyAlignment="1">
      <alignment horizontal="center" vertical="center" wrapText="1"/>
    </xf>
    <xf numFmtId="4" fontId="39" fillId="3" borderId="10" xfId="773" applyNumberFormat="1" applyFont="1" applyFill="1" applyBorder="1" applyAlignment="1">
      <alignment horizontal="center" vertical="center" wrapText="1"/>
    </xf>
    <xf numFmtId="4" fontId="39" fillId="3" borderId="11" xfId="773" applyNumberFormat="1" applyFont="1" applyFill="1" applyBorder="1" applyAlignment="1">
      <alignment horizontal="center" vertical="center" wrapText="1"/>
    </xf>
    <xf numFmtId="164" fontId="39" fillId="3" borderId="50" xfId="80" applyFont="1" applyFill="1" applyBorder="1" applyAlignment="1">
      <alignment vertical="center" wrapText="1"/>
    </xf>
    <xf numFmtId="164" fontId="39" fillId="3" borderId="18" xfId="80" applyFont="1" applyFill="1" applyBorder="1" applyAlignment="1">
      <alignment vertical="center" wrapText="1"/>
    </xf>
    <xf numFmtId="164" fontId="39" fillId="3" borderId="10" xfId="80" applyFont="1" applyFill="1" applyBorder="1" applyAlignment="1">
      <alignment vertical="center" wrapText="1"/>
    </xf>
    <xf numFmtId="164" fontId="39" fillId="3" borderId="11" xfId="80" applyFont="1" applyFill="1" applyBorder="1" applyAlignment="1">
      <alignment vertical="center" wrapText="1"/>
    </xf>
    <xf numFmtId="4" fontId="39" fillId="3" borderId="0" xfId="773" applyNumberFormat="1" applyFont="1" applyFill="1" applyBorder="1" applyAlignment="1">
      <alignment horizontal="center" vertical="center" wrapText="1"/>
    </xf>
    <xf numFmtId="164" fontId="39" fillId="3" borderId="0" xfId="80" applyFont="1" applyFill="1" applyBorder="1" applyAlignment="1">
      <alignment vertical="center" wrapText="1"/>
    </xf>
    <xf numFmtId="0" fontId="39" fillId="4" borderId="56" xfId="709" applyFont="1" applyFill="1" applyBorder="1" applyAlignment="1">
      <alignment horizontal="center" vertical="center" wrapText="1"/>
    </xf>
    <xf numFmtId="164" fontId="39" fillId="3" borderId="20" xfId="80" applyFont="1" applyFill="1" applyBorder="1" applyAlignment="1">
      <alignment vertical="center" wrapText="1"/>
    </xf>
    <xf numFmtId="4" fontId="39" fillId="0" borderId="3" xfId="773" applyNumberFormat="1" applyFont="1" applyBorder="1" applyAlignment="1">
      <alignment horizontal="center" vertical="center" wrapText="1"/>
    </xf>
    <xf numFmtId="4" fontId="39" fillId="3" borderId="18" xfId="773" applyNumberFormat="1" applyFont="1" applyFill="1" applyBorder="1" applyAlignment="1">
      <alignment horizontal="center" vertical="center" wrapText="1"/>
    </xf>
    <xf numFmtId="0" fontId="39" fillId="4" borderId="49" xfId="709" applyFont="1" applyFill="1" applyBorder="1" applyAlignment="1">
      <alignment horizontal="center" vertical="center" wrapText="1"/>
    </xf>
    <xf numFmtId="4" fontId="39" fillId="0" borderId="33" xfId="709" applyNumberFormat="1" applyFont="1" applyBorder="1" applyAlignment="1">
      <alignment horizontal="center" vertical="center" wrapText="1"/>
    </xf>
    <xf numFmtId="4" fontId="39" fillId="0" borderId="39" xfId="709" applyNumberFormat="1" applyFont="1" applyBorder="1" applyAlignment="1">
      <alignment horizontal="center" vertical="center" wrapText="1"/>
    </xf>
    <xf numFmtId="4" fontId="39" fillId="0" borderId="37" xfId="709" applyNumberFormat="1" applyFont="1" applyBorder="1" applyAlignment="1">
      <alignment horizontal="center" vertical="center" wrapText="1"/>
    </xf>
    <xf numFmtId="0" fontId="41" fillId="4" borderId="41" xfId="709" applyFont="1" applyFill="1" applyBorder="1" applyAlignment="1">
      <alignment horizontal="center" vertical="center" wrapText="1"/>
    </xf>
    <xf numFmtId="0" fontId="41" fillId="4" borderId="61" xfId="709" applyFont="1" applyFill="1" applyBorder="1" applyAlignment="1">
      <alignment horizontal="center" vertical="center" wrapText="1"/>
    </xf>
    <xf numFmtId="0" fontId="41" fillId="4" borderId="66" xfId="709" applyFont="1" applyFill="1" applyBorder="1" applyAlignment="1">
      <alignment horizontal="center" vertical="center" wrapText="1"/>
    </xf>
    <xf numFmtId="0" fontId="41" fillId="4" borderId="57" xfId="709" applyFont="1" applyFill="1" applyBorder="1" applyAlignment="1">
      <alignment horizontal="center" vertical="center" wrapText="1"/>
    </xf>
    <xf numFmtId="164" fontId="39" fillId="0" borderId="33" xfId="80" applyFont="1" applyBorder="1" applyAlignment="1">
      <alignment vertical="center" wrapText="1"/>
    </xf>
    <xf numFmtId="164" fontId="39" fillId="0" borderId="39" xfId="80" applyFont="1" applyBorder="1" applyAlignment="1">
      <alignment vertical="center" wrapText="1"/>
    </xf>
    <xf numFmtId="164" fontId="39" fillId="0" borderId="37" xfId="80" applyFont="1" applyBorder="1" applyAlignment="1">
      <alignment vertical="center" wrapText="1"/>
    </xf>
    <xf numFmtId="0" fontId="41" fillId="4" borderId="65" xfId="709" applyFont="1" applyFill="1" applyBorder="1" applyAlignment="1">
      <alignment horizontal="center" vertical="center" wrapText="1"/>
    </xf>
    <xf numFmtId="10" fontId="41" fillId="4" borderId="57" xfId="774" applyNumberFormat="1" applyFont="1" applyFill="1" applyBorder="1" applyAlignment="1">
      <alignment horizontal="center" vertical="center"/>
    </xf>
    <xf numFmtId="4" fontId="39" fillId="3" borderId="52" xfId="773" applyNumberFormat="1" applyFont="1" applyFill="1" applyBorder="1" applyAlignment="1">
      <alignment horizontal="center" vertical="center" wrapText="1"/>
    </xf>
    <xf numFmtId="0" fontId="39" fillId="4" borderId="34" xfId="709" applyFont="1" applyFill="1" applyBorder="1" applyAlignment="1">
      <alignment horizontal="center" vertical="center" wrapText="1"/>
    </xf>
    <xf numFmtId="4" fontId="39" fillId="0" borderId="38" xfId="709" applyNumberFormat="1" applyFont="1" applyBorder="1" applyAlignment="1">
      <alignment horizontal="center" vertical="center" wrapText="1"/>
    </xf>
    <xf numFmtId="0" fontId="41" fillId="4" borderId="67" xfId="709" applyFont="1" applyFill="1" applyBorder="1" applyAlignment="1">
      <alignment horizontal="center" vertical="center" wrapText="1"/>
    </xf>
    <xf numFmtId="4" fontId="39" fillId="0" borderId="40" xfId="709" applyNumberFormat="1" applyFont="1" applyBorder="1" applyAlignment="1">
      <alignment horizontal="center" vertical="center" wrapText="1"/>
    </xf>
    <xf numFmtId="4" fontId="39" fillId="0" borderId="27" xfId="709" applyNumberFormat="1" applyFont="1" applyBorder="1" applyAlignment="1">
      <alignment horizontal="center" vertical="center" wrapText="1"/>
    </xf>
    <xf numFmtId="4" fontId="39" fillId="0" borderId="27" xfId="773" applyNumberFormat="1" applyFont="1" applyBorder="1" applyAlignment="1">
      <alignment horizontal="center" vertical="center" wrapText="1"/>
    </xf>
    <xf numFmtId="4" fontId="39" fillId="3" borderId="36" xfId="773" applyNumberFormat="1" applyFont="1" applyFill="1" applyBorder="1" applyAlignment="1">
      <alignment horizontal="center" vertical="center" wrapText="1"/>
    </xf>
    <xf numFmtId="0" fontId="41" fillId="4" borderId="63" xfId="709" applyFont="1" applyFill="1" applyBorder="1" applyAlignment="1">
      <alignment horizontal="center" vertical="center" wrapText="1"/>
    </xf>
    <xf numFmtId="0" fontId="41" fillId="4" borderId="71" xfId="709" applyFont="1" applyFill="1" applyBorder="1" applyAlignment="1">
      <alignment horizontal="center" vertical="center" wrapText="1"/>
    </xf>
    <xf numFmtId="4" fontId="39" fillId="0" borderId="4" xfId="709" applyNumberFormat="1" applyFont="1" applyBorder="1" applyAlignment="1">
      <alignment horizontal="center" vertical="center" wrapText="1"/>
    </xf>
    <xf numFmtId="4" fontId="39" fillId="0" borderId="5" xfId="709" applyNumberFormat="1" applyFont="1" applyBorder="1" applyAlignment="1">
      <alignment horizontal="center" vertical="center" wrapText="1"/>
    </xf>
    <xf numFmtId="4" fontId="39" fillId="0" borderId="6" xfId="709" applyNumberFormat="1" applyFont="1" applyBorder="1" applyAlignment="1">
      <alignment horizontal="center" vertical="center" wrapText="1"/>
    </xf>
    <xf numFmtId="0" fontId="41" fillId="4" borderId="72" xfId="709" applyFont="1" applyFill="1" applyBorder="1" applyAlignment="1">
      <alignment horizontal="center" vertical="center" wrapText="1"/>
    </xf>
    <xf numFmtId="4" fontId="39" fillId="0" borderId="12" xfId="773" applyNumberFormat="1" applyFont="1" applyBorder="1" applyAlignment="1">
      <alignment horizontal="center" vertical="center" wrapText="1"/>
    </xf>
    <xf numFmtId="4" fontId="39" fillId="0" borderId="46" xfId="709" applyNumberFormat="1" applyFont="1" applyBorder="1" applyAlignment="1">
      <alignment horizontal="center" vertical="center" wrapText="1"/>
    </xf>
    <xf numFmtId="0" fontId="41" fillId="4" borderId="53" xfId="709" applyFont="1" applyFill="1" applyBorder="1" applyAlignment="1">
      <alignment horizontal="center" vertical="center" wrapText="1"/>
    </xf>
    <xf numFmtId="10" fontId="41" fillId="4" borderId="41" xfId="774" applyNumberFormat="1" applyFont="1" applyFill="1" applyBorder="1" applyAlignment="1">
      <alignment horizontal="center" vertical="center"/>
    </xf>
    <xf numFmtId="4" fontId="39" fillId="0" borderId="18" xfId="773" applyNumberFormat="1" applyFont="1" applyBorder="1" applyAlignment="1">
      <alignment horizontal="center" vertical="center" wrapText="1"/>
    </xf>
    <xf numFmtId="4" fontId="39" fillId="0" borderId="35" xfId="773" applyNumberFormat="1" applyFont="1" applyBorder="1" applyAlignment="1">
      <alignment horizontal="center" vertical="center" wrapText="1"/>
    </xf>
    <xf numFmtId="0" fontId="62" fillId="3" borderId="0" xfId="709" applyFont="1" applyFill="1"/>
    <xf numFmtId="0" fontId="39" fillId="4" borderId="68" xfId="709" applyFont="1" applyFill="1" applyBorder="1" applyAlignment="1">
      <alignment horizontal="center" vertical="center" wrapText="1"/>
    </xf>
    <xf numFmtId="4" fontId="39" fillId="0" borderId="73" xfId="773" applyNumberFormat="1" applyFont="1" applyBorder="1" applyAlignment="1">
      <alignment horizontal="center" vertical="center" wrapText="1"/>
    </xf>
    <xf numFmtId="4" fontId="39" fillId="0" borderId="45" xfId="709" applyNumberFormat="1" applyFont="1" applyBorder="1" applyAlignment="1">
      <alignment horizontal="center" vertical="center" wrapText="1"/>
    </xf>
    <xf numFmtId="4" fontId="39" fillId="0" borderId="80" xfId="773" applyNumberFormat="1" applyFont="1" applyBorder="1" applyAlignment="1">
      <alignment horizontal="center" vertical="center" wrapText="1"/>
    </xf>
    <xf numFmtId="4" fontId="39" fillId="0" borderId="30" xfId="773" applyNumberFormat="1" applyFont="1" applyBorder="1" applyAlignment="1">
      <alignment horizontal="center" vertical="center" wrapText="1"/>
    </xf>
    <xf numFmtId="4" fontId="39" fillId="0" borderId="36" xfId="773" applyNumberFormat="1" applyFont="1" applyBorder="1" applyAlignment="1">
      <alignment horizontal="center" vertical="center" wrapText="1"/>
    </xf>
    <xf numFmtId="4" fontId="39" fillId="0" borderId="62" xfId="709" applyNumberFormat="1" applyFont="1" applyBorder="1" applyAlignment="1">
      <alignment horizontal="center" vertical="center" wrapText="1"/>
    </xf>
    <xf numFmtId="0" fontId="16" fillId="4" borderId="16" xfId="0" applyFont="1" applyFill="1" applyBorder="1" applyAlignment="1">
      <alignment vertical="center"/>
    </xf>
    <xf numFmtId="0" fontId="16" fillId="4" borderId="23" xfId="0" applyFont="1" applyFill="1" applyBorder="1" applyAlignment="1">
      <alignment vertical="center"/>
    </xf>
    <xf numFmtId="0" fontId="16" fillId="4" borderId="21" xfId="0" applyFont="1" applyFill="1" applyBorder="1" applyAlignment="1">
      <alignment vertical="center"/>
    </xf>
    <xf numFmtId="0" fontId="16" fillId="4" borderId="24" xfId="0" applyFont="1" applyFill="1" applyBorder="1" applyAlignment="1">
      <alignment vertical="center"/>
    </xf>
    <xf numFmtId="0" fontId="16" fillId="4" borderId="17" xfId="0" applyFont="1" applyFill="1" applyBorder="1" applyAlignment="1">
      <alignment horizontal="center" vertical="center"/>
    </xf>
    <xf numFmtId="0" fontId="12" fillId="3" borderId="52" xfId="0" applyFont="1" applyFill="1" applyBorder="1" applyAlignment="1">
      <alignment horizontal="left"/>
    </xf>
    <xf numFmtId="0" fontId="12" fillId="4" borderId="19" xfId="0" applyFont="1" applyFill="1" applyBorder="1" applyAlignment="1">
      <alignment horizontal="left" vertical="center"/>
    </xf>
    <xf numFmtId="0" fontId="12" fillId="4" borderId="20" xfId="0" applyFont="1" applyFill="1" applyBorder="1" applyAlignment="1">
      <alignment horizontal="left" vertical="center"/>
    </xf>
    <xf numFmtId="0" fontId="39" fillId="3" borderId="0" xfId="709" applyFont="1" applyFill="1" applyBorder="1" applyAlignment="1">
      <alignment horizontal="center" vertical="top" wrapText="1"/>
    </xf>
    <xf numFmtId="0" fontId="39" fillId="3" borderId="0" xfId="709" applyFont="1" applyFill="1" applyBorder="1" applyAlignment="1">
      <alignment horizontal="center" vertical="center" wrapText="1"/>
    </xf>
    <xf numFmtId="2" fontId="16" fillId="3" borderId="0" xfId="0" applyNumberFormat="1" applyFont="1" applyFill="1" applyBorder="1" applyAlignment="1">
      <alignment horizontal="center" vertical="center"/>
    </xf>
    <xf numFmtId="4" fontId="16" fillId="0" borderId="0" xfId="0" applyNumberFormat="1" applyFont="1" applyBorder="1" applyAlignment="1">
      <alignment horizontal="center"/>
    </xf>
    <xf numFmtId="0" fontId="12" fillId="4" borderId="51" xfId="0" applyFont="1" applyFill="1" applyBorder="1" applyAlignment="1">
      <alignment vertical="center"/>
    </xf>
    <xf numFmtId="0" fontId="12" fillId="4" borderId="52" xfId="0" applyFont="1" applyFill="1" applyBorder="1" applyAlignment="1">
      <alignment vertical="center"/>
    </xf>
    <xf numFmtId="0" fontId="12" fillId="4" borderId="53" xfId="0" applyFont="1" applyFill="1" applyBorder="1" applyAlignment="1">
      <alignment vertical="center"/>
    </xf>
    <xf numFmtId="0" fontId="11" fillId="4" borderId="19" xfId="0" applyFont="1" applyFill="1" applyBorder="1" applyAlignment="1">
      <alignment horizontal="left" vertical="center"/>
    </xf>
    <xf numFmtId="14" fontId="11" fillId="4" borderId="54" xfId="0" applyNumberFormat="1" applyFont="1" applyFill="1" applyBorder="1" applyAlignment="1">
      <alignment horizontal="center" vertical="center"/>
    </xf>
    <xf numFmtId="164" fontId="12" fillId="3" borderId="54" xfId="80" applyFont="1" applyFill="1" applyBorder="1" applyAlignment="1">
      <alignment horizontal="center" vertical="center"/>
    </xf>
    <xf numFmtId="164" fontId="12" fillId="3" borderId="54" xfId="80" applyFont="1" applyFill="1" applyBorder="1" applyAlignment="1">
      <alignment horizontal="left" vertical="center"/>
    </xf>
    <xf numFmtId="164" fontId="12" fillId="3" borderId="43" xfId="80" applyFont="1" applyFill="1" applyBorder="1" applyAlignment="1">
      <alignment horizontal="left" vertical="center"/>
    </xf>
    <xf numFmtId="164" fontId="12" fillId="3" borderId="46" xfId="80" applyFont="1" applyFill="1" applyBorder="1" applyAlignment="1">
      <alignment horizontal="center" vertical="center"/>
    </xf>
    <xf numFmtId="164" fontId="12" fillId="3" borderId="46" xfId="80" applyFont="1" applyFill="1" applyBorder="1" applyAlignment="1">
      <alignment horizontal="left" vertical="center"/>
    </xf>
    <xf numFmtId="164" fontId="12" fillId="3" borderId="49" xfId="80" applyFont="1" applyFill="1" applyBorder="1" applyAlignment="1">
      <alignment horizontal="left" vertical="center"/>
    </xf>
    <xf numFmtId="164" fontId="12" fillId="3" borderId="68" xfId="80" applyFont="1" applyFill="1" applyBorder="1" applyAlignment="1">
      <alignment horizontal="left" vertical="center"/>
    </xf>
    <xf numFmtId="0" fontId="12" fillId="4" borderId="16" xfId="0" applyFont="1" applyFill="1" applyBorder="1" applyAlignment="1">
      <alignment horizontal="left" vertical="center"/>
    </xf>
    <xf numFmtId="0" fontId="12" fillId="4" borderId="17" xfId="0" applyFont="1" applyFill="1" applyBorder="1" applyAlignment="1">
      <alignment horizontal="left" vertical="center"/>
    </xf>
    <xf numFmtId="0" fontId="11" fillId="4" borderId="20" xfId="0" applyFont="1" applyFill="1" applyBorder="1" applyAlignment="1">
      <alignment horizontal="left" vertical="center"/>
    </xf>
    <xf numFmtId="164" fontId="12" fillId="4" borderId="41" xfId="80" applyFont="1" applyFill="1" applyBorder="1" applyAlignment="1">
      <alignment horizontal="left" vertical="center"/>
    </xf>
    <xf numFmtId="2" fontId="12" fillId="4" borderId="41" xfId="0" applyNumberFormat="1" applyFont="1" applyFill="1" applyBorder="1" applyAlignment="1">
      <alignment horizontal="left" vertical="center"/>
    </xf>
    <xf numFmtId="2" fontId="12" fillId="4" borderId="41" xfId="0" applyNumberFormat="1" applyFont="1" applyFill="1" applyBorder="1" applyAlignment="1">
      <alignment horizontal="center" vertical="center"/>
    </xf>
    <xf numFmtId="14" fontId="11" fillId="4" borderId="41" xfId="0" applyNumberFormat="1" applyFont="1" applyFill="1" applyBorder="1" applyAlignment="1">
      <alignment vertical="center"/>
    </xf>
    <xf numFmtId="0" fontId="11" fillId="4" borderId="51" xfId="0" applyFont="1" applyFill="1" applyBorder="1" applyAlignment="1">
      <alignment vertical="center"/>
    </xf>
    <xf numFmtId="164" fontId="12" fillId="3" borderId="43" xfId="80" applyFont="1" applyFill="1" applyBorder="1" applyAlignment="1">
      <alignment horizontal="center" vertical="center"/>
    </xf>
    <xf numFmtId="0" fontId="39" fillId="3" borderId="52" xfId="709" applyFont="1" applyFill="1" applyBorder="1" applyAlignment="1">
      <alignment horizontal="center" vertical="top" wrapText="1"/>
    </xf>
    <xf numFmtId="0" fontId="39" fillId="3" borderId="52" xfId="709" applyFont="1" applyFill="1" applyBorder="1" applyAlignment="1">
      <alignment horizontal="center" vertical="center" wrapText="1"/>
    </xf>
    <xf numFmtId="0" fontId="0" fillId="0" borderId="0" xfId="0" applyFont="1"/>
    <xf numFmtId="0" fontId="42" fillId="3" borderId="0" xfId="709" applyFont="1" applyFill="1" applyBorder="1"/>
    <xf numFmtId="0" fontId="39" fillId="4" borderId="34" xfId="709" applyFont="1" applyFill="1" applyBorder="1" applyAlignment="1">
      <alignment horizontal="left" vertical="top" wrapText="1"/>
    </xf>
    <xf numFmtId="10" fontId="38" fillId="3" borderId="0" xfId="774" applyNumberFormat="1" applyFont="1" applyFill="1" applyBorder="1" applyAlignment="1">
      <alignment horizontal="center" vertical="top"/>
    </xf>
    <xf numFmtId="0" fontId="39" fillId="4" borderId="34" xfId="709" applyFont="1" applyFill="1" applyBorder="1" applyAlignment="1">
      <alignment horizontal="left" vertical="center" wrapText="1"/>
    </xf>
    <xf numFmtId="4" fontId="38" fillId="3" borderId="0" xfId="709" applyNumberFormat="1" applyFont="1" applyFill="1" applyBorder="1" applyAlignment="1">
      <alignment horizontal="justify" vertical="center" wrapText="1"/>
    </xf>
    <xf numFmtId="2" fontId="38" fillId="3" borderId="0" xfId="709" applyNumberFormat="1" applyFont="1" applyFill="1" applyBorder="1" applyAlignment="1">
      <alignment horizontal="right" vertical="center" wrapText="1"/>
    </xf>
    <xf numFmtId="4" fontId="38" fillId="3" borderId="0" xfId="709" applyNumberFormat="1" applyFont="1" applyFill="1" applyBorder="1" applyAlignment="1">
      <alignment horizontal="right" vertical="center" wrapText="1"/>
    </xf>
    <xf numFmtId="0" fontId="39" fillId="4" borderId="21" xfId="709" applyFont="1" applyFill="1" applyBorder="1" applyAlignment="1">
      <alignment horizontal="left" vertical="center" wrapText="1"/>
    </xf>
    <xf numFmtId="0" fontId="39" fillId="4" borderId="62" xfId="709" applyFont="1" applyFill="1" applyBorder="1" applyAlignment="1">
      <alignment horizontal="left" vertical="top" wrapText="1"/>
    </xf>
    <xf numFmtId="0" fontId="39" fillId="4" borderId="50" xfId="709" applyFont="1" applyFill="1" applyBorder="1" applyAlignment="1">
      <alignment horizontal="left" vertical="top" wrapText="1"/>
    </xf>
    <xf numFmtId="4" fontId="39" fillId="3" borderId="24" xfId="773" applyNumberFormat="1" applyFont="1" applyFill="1" applyBorder="1" applyAlignment="1">
      <alignment horizontal="center" wrapText="1"/>
    </xf>
    <xf numFmtId="4" fontId="39" fillId="3" borderId="43" xfId="773" applyNumberFormat="1" applyFont="1" applyFill="1" applyBorder="1" applyAlignment="1">
      <alignment horizontal="center" wrapText="1"/>
    </xf>
    <xf numFmtId="4" fontId="39" fillId="3" borderId="22" xfId="773" applyNumberFormat="1" applyFont="1" applyFill="1" applyBorder="1" applyAlignment="1">
      <alignment horizontal="center"/>
    </xf>
    <xf numFmtId="168" fontId="38" fillId="3" borderId="0" xfId="773" applyFont="1" applyFill="1" applyBorder="1" applyAlignment="1">
      <alignment wrapText="1"/>
    </xf>
    <xf numFmtId="0" fontId="36" fillId="3" borderId="0" xfId="0" applyFont="1" applyFill="1" applyBorder="1" applyAlignment="1">
      <alignment horizontal="center" vertical="center"/>
    </xf>
    <xf numFmtId="14" fontId="38" fillId="3" borderId="0" xfId="0" applyNumberFormat="1" applyFont="1" applyFill="1" applyBorder="1" applyAlignment="1">
      <alignment horizontal="center"/>
    </xf>
    <xf numFmtId="2" fontId="38" fillId="3" borderId="0" xfId="0" applyNumberFormat="1" applyFont="1" applyFill="1" applyBorder="1" applyAlignment="1">
      <alignment horizontal="center"/>
    </xf>
    <xf numFmtId="4" fontId="39" fillId="0" borderId="62" xfId="773" applyNumberFormat="1" applyFont="1" applyBorder="1" applyAlignment="1">
      <alignment horizontal="center" wrapText="1"/>
    </xf>
    <xf numFmtId="4" fontId="39" fillId="0" borderId="14" xfId="773" applyNumberFormat="1" applyFont="1" applyBorder="1" applyAlignment="1">
      <alignment horizontal="center" wrapText="1"/>
    </xf>
    <xf numFmtId="4" fontId="39" fillId="0" borderId="62" xfId="709" applyNumberFormat="1" applyFont="1" applyBorder="1" applyAlignment="1">
      <alignment horizontal="center" wrapText="1"/>
    </xf>
    <xf numFmtId="4" fontId="39" fillId="0" borderId="13" xfId="709" applyNumberFormat="1" applyFont="1" applyBorder="1" applyAlignment="1">
      <alignment horizontal="center" wrapText="1"/>
    </xf>
    <xf numFmtId="4" fontId="39" fillId="0" borderId="15" xfId="709" applyNumberFormat="1" applyFont="1" applyBorder="1" applyAlignment="1">
      <alignment horizontal="center" wrapText="1"/>
    </xf>
    <xf numFmtId="4" fontId="39" fillId="0" borderId="49" xfId="773" applyNumberFormat="1" applyFont="1" applyBorder="1" applyAlignment="1">
      <alignment horizontal="center" wrapText="1"/>
    </xf>
    <xf numFmtId="4" fontId="39" fillId="0" borderId="47" xfId="773" applyNumberFormat="1" applyFont="1" applyBorder="1" applyAlignment="1">
      <alignment horizontal="center" wrapText="1"/>
    </xf>
    <xf numFmtId="4" fontId="39" fillId="0" borderId="27" xfId="709" applyNumberFormat="1" applyFont="1" applyBorder="1" applyAlignment="1">
      <alignment horizontal="center" wrapText="1"/>
    </xf>
    <xf numFmtId="4" fontId="39" fillId="0" borderId="50" xfId="773" applyNumberFormat="1" applyFont="1" applyBorder="1" applyAlignment="1">
      <alignment horizontal="center" wrapText="1"/>
    </xf>
    <xf numFmtId="4" fontId="39" fillId="0" borderId="48" xfId="773" applyNumberFormat="1" applyFont="1" applyBorder="1" applyAlignment="1">
      <alignment horizontal="center" wrapText="1"/>
    </xf>
    <xf numFmtId="4" fontId="39" fillId="0" borderId="36" xfId="709" applyNumberFormat="1" applyFont="1" applyBorder="1" applyAlignment="1">
      <alignment horizontal="center" wrapText="1"/>
    </xf>
    <xf numFmtId="4" fontId="39" fillId="0" borderId="46" xfId="773" applyNumberFormat="1" applyFont="1" applyBorder="1" applyAlignment="1">
      <alignment horizontal="center" wrapText="1"/>
    </xf>
    <xf numFmtId="4" fontId="39" fillId="0" borderId="46" xfId="709" applyNumberFormat="1" applyFont="1" applyBorder="1" applyAlignment="1">
      <alignment horizontal="center" wrapText="1"/>
    </xf>
    <xf numFmtId="0" fontId="41" fillId="3" borderId="0" xfId="709" applyFont="1" applyFill="1" applyBorder="1" applyAlignment="1">
      <alignment horizontal="left" vertical="top" wrapText="1"/>
    </xf>
    <xf numFmtId="168" fontId="39" fillId="0" borderId="0" xfId="773" applyFont="1" applyBorder="1" applyAlignment="1">
      <alignment wrapText="1"/>
    </xf>
    <xf numFmtId="4" fontId="39" fillId="0" borderId="0" xfId="709" applyNumberFormat="1" applyFont="1" applyBorder="1" applyAlignment="1">
      <alignment wrapText="1"/>
    </xf>
    <xf numFmtId="2" fontId="39" fillId="0" borderId="0" xfId="709" applyNumberFormat="1" applyFont="1" applyBorder="1" applyAlignment="1">
      <alignment wrapText="1"/>
    </xf>
    <xf numFmtId="0" fontId="47" fillId="0" borderId="0" xfId="709" applyFont="1" applyBorder="1" applyAlignment="1"/>
    <xf numFmtId="0" fontId="39" fillId="4" borderId="46" xfId="709" applyFont="1" applyFill="1" applyBorder="1" applyAlignment="1">
      <alignment horizontal="left" vertical="top" wrapText="1"/>
    </xf>
    <xf numFmtId="4" fontId="39" fillId="3" borderId="24" xfId="773" applyNumberFormat="1" applyFont="1" applyFill="1" applyBorder="1" applyAlignment="1">
      <alignment horizontal="center" vertical="center" wrapText="1"/>
    </xf>
    <xf numFmtId="4" fontId="39" fillId="3" borderId="43" xfId="773" applyNumberFormat="1" applyFont="1" applyFill="1" applyBorder="1" applyAlignment="1">
      <alignment horizontal="center" vertical="center" wrapText="1"/>
    </xf>
    <xf numFmtId="4" fontId="39" fillId="3" borderId="22" xfId="773" applyNumberFormat="1" applyFont="1" applyFill="1" applyBorder="1" applyAlignment="1">
      <alignment horizontal="center" vertical="center"/>
    </xf>
    <xf numFmtId="0" fontId="41" fillId="3" borderId="0" xfId="709" applyFont="1" applyFill="1" applyBorder="1" applyAlignment="1">
      <alignment horizontal="left"/>
    </xf>
    <xf numFmtId="0" fontId="41" fillId="3" borderId="0" xfId="709" applyFont="1" applyFill="1" applyBorder="1"/>
    <xf numFmtId="170" fontId="39" fillId="3" borderId="0" xfId="775" applyNumberFormat="1" applyFont="1" applyFill="1" applyBorder="1" applyAlignment="1"/>
    <xf numFmtId="0" fontId="38" fillId="3" borderId="0" xfId="0" applyFont="1" applyFill="1" applyBorder="1" applyAlignment="1">
      <alignment horizontal="center"/>
    </xf>
    <xf numFmtId="4" fontId="38" fillId="3" borderId="0" xfId="0" applyNumberFormat="1" applyFont="1" applyFill="1" applyBorder="1" applyAlignment="1">
      <alignment horizontal="center"/>
    </xf>
    <xf numFmtId="0" fontId="39" fillId="3" borderId="0" xfId="709" applyFont="1" applyFill="1" applyBorder="1" applyAlignment="1">
      <alignment horizontal="center"/>
    </xf>
    <xf numFmtId="4" fontId="39" fillId="3" borderId="0" xfId="709" applyNumberFormat="1" applyFont="1" applyFill="1" applyBorder="1" applyAlignment="1">
      <alignment horizontal="center"/>
    </xf>
    <xf numFmtId="0" fontId="86" fillId="0" borderId="0" xfId="0" applyFont="1" applyBorder="1" applyAlignment="1"/>
    <xf numFmtId="0" fontId="61" fillId="0" borderId="0" xfId="0" applyFont="1" applyBorder="1" applyAlignment="1"/>
    <xf numFmtId="0" fontId="10" fillId="0" borderId="0" xfId="0" applyFont="1" applyBorder="1" applyAlignment="1">
      <alignment horizontal="center" wrapText="1"/>
    </xf>
    <xf numFmtId="0" fontId="17" fillId="0" borderId="0" xfId="0" applyFont="1" applyBorder="1" applyAlignment="1">
      <alignment horizontal="left"/>
    </xf>
    <xf numFmtId="0" fontId="15" fillId="0" borderId="0" xfId="0" applyFont="1" applyBorder="1" applyAlignment="1">
      <alignment horizontal="left"/>
    </xf>
    <xf numFmtId="0" fontId="28" fillId="4" borderId="0" xfId="0" applyFont="1" applyFill="1" applyAlignment="1">
      <alignment horizontal="center" vertical="center" wrapText="1"/>
    </xf>
    <xf numFmtId="0" fontId="15" fillId="0" borderId="0" xfId="0" applyFont="1" applyBorder="1" applyAlignment="1">
      <alignment horizontal="center"/>
    </xf>
    <xf numFmtId="0" fontId="61" fillId="0" borderId="0" xfId="0" applyFont="1" applyBorder="1" applyAlignment="1">
      <alignment horizontal="left" wrapText="1"/>
    </xf>
    <xf numFmtId="0" fontId="61" fillId="0" borderId="0" xfId="0" applyFont="1" applyBorder="1" applyAlignment="1">
      <alignment horizontal="left" vertical="justify" wrapText="1"/>
    </xf>
    <xf numFmtId="0" fontId="4" fillId="0" borderId="0" xfId="1470" applyBorder="1" applyAlignment="1">
      <alignment horizontal="left" wrapText="1"/>
    </xf>
    <xf numFmtId="0" fontId="15" fillId="0" borderId="0" xfId="0" applyFont="1" applyBorder="1" applyAlignment="1">
      <alignment horizontal="center" vertical="center"/>
    </xf>
    <xf numFmtId="0" fontId="15" fillId="0" borderId="0" xfId="0" applyFont="1" applyBorder="1" applyAlignment="1">
      <alignment horizontal="center" vertical="center" wrapText="1"/>
    </xf>
    <xf numFmtId="0" fontId="15" fillId="0" borderId="0" xfId="0" applyFont="1" applyBorder="1" applyAlignment="1">
      <alignment horizontal="left" vertical="center" wrapText="1"/>
    </xf>
    <xf numFmtId="0" fontId="14" fillId="0" borderId="0" xfId="0" applyFont="1" applyAlignment="1">
      <alignment horizontal="center" vertical="center"/>
    </xf>
    <xf numFmtId="0" fontId="15" fillId="0" borderId="0" xfId="0" applyFont="1" applyBorder="1" applyAlignment="1">
      <alignment horizontal="left" vertical="center"/>
    </xf>
    <xf numFmtId="0" fontId="14" fillId="0" borderId="0" xfId="0" applyFont="1" applyAlignment="1">
      <alignment horizontal="center"/>
    </xf>
    <xf numFmtId="0" fontId="14" fillId="0" borderId="0" xfId="0" applyFont="1" applyAlignment="1">
      <alignment vertical="center"/>
    </xf>
    <xf numFmtId="0" fontId="14" fillId="0" borderId="0" xfId="0" applyFont="1" applyAlignment="1">
      <alignment horizontal="center" vertical="top" wrapText="1"/>
    </xf>
    <xf numFmtId="0" fontId="10" fillId="0" borderId="0" xfId="0" applyFont="1" applyAlignment="1">
      <alignment horizontal="center"/>
    </xf>
    <xf numFmtId="0" fontId="17" fillId="0" borderId="0" xfId="0" applyFont="1" applyAlignment="1">
      <alignment horizontal="center"/>
    </xf>
    <xf numFmtId="0" fontId="51" fillId="0" borderId="0" xfId="709" applyFont="1" applyAlignment="1">
      <alignment horizontal="center" wrapText="1"/>
    </xf>
    <xf numFmtId="0" fontId="48" fillId="0" borderId="0" xfId="709" applyFont="1" applyAlignment="1">
      <alignment horizontal="center" wrapText="1"/>
    </xf>
    <xf numFmtId="0" fontId="27" fillId="0" borderId="0" xfId="0" applyFont="1" applyAlignment="1">
      <alignment horizontal="center"/>
    </xf>
    <xf numFmtId="0" fontId="27" fillId="0" borderId="0" xfId="0" applyFont="1" applyBorder="1" applyAlignment="1">
      <alignment horizontal="center"/>
    </xf>
    <xf numFmtId="0" fontId="13" fillId="4" borderId="0" xfId="0" applyFont="1" applyFill="1" applyAlignment="1">
      <alignment horizontal="center" wrapText="1"/>
    </xf>
    <xf numFmtId="0" fontId="12" fillId="4" borderId="0" xfId="0" applyFont="1" applyFill="1" applyAlignment="1">
      <alignment horizontal="center" vertical="top" wrapText="1" shrinkToFit="1"/>
    </xf>
    <xf numFmtId="0" fontId="14" fillId="0" borderId="0" xfId="0" applyFont="1" applyBorder="1" applyAlignment="1">
      <alignment horizontal="center"/>
    </xf>
    <xf numFmtId="0" fontId="1" fillId="4" borderId="51" xfId="0" applyFont="1" applyFill="1" applyBorder="1" applyAlignment="1">
      <alignment horizontal="left" vertical="center" wrapText="1"/>
    </xf>
    <xf numFmtId="0" fontId="1" fillId="4" borderId="52" xfId="0" applyFont="1" applyFill="1" applyBorder="1" applyAlignment="1">
      <alignment horizontal="left" vertical="center" wrapText="1"/>
    </xf>
    <xf numFmtId="0" fontId="1" fillId="4" borderId="53" xfId="0" applyFont="1" applyFill="1" applyBorder="1" applyAlignment="1">
      <alignment horizontal="left" vertical="center" wrapText="1"/>
    </xf>
    <xf numFmtId="0" fontId="1" fillId="4" borderId="51" xfId="0" applyFont="1" applyFill="1" applyBorder="1" applyAlignment="1">
      <alignment horizontal="left" wrapText="1"/>
    </xf>
    <xf numFmtId="0" fontId="1" fillId="4" borderId="52" xfId="0" applyFont="1" applyFill="1" applyBorder="1" applyAlignment="1">
      <alignment horizontal="left" wrapText="1"/>
    </xf>
    <xf numFmtId="0" fontId="1" fillId="4" borderId="53" xfId="0" applyFont="1" applyFill="1" applyBorder="1" applyAlignment="1">
      <alignment horizontal="left" wrapText="1"/>
    </xf>
    <xf numFmtId="0" fontId="56" fillId="4" borderId="52" xfId="0" applyFont="1" applyFill="1" applyBorder="1" applyAlignment="1">
      <alignment horizontal="center"/>
    </xf>
    <xf numFmtId="0" fontId="56" fillId="4" borderId="53" xfId="0" applyFont="1" applyFill="1" applyBorder="1" applyAlignment="1">
      <alignment horizontal="center"/>
    </xf>
    <xf numFmtId="0" fontId="59" fillId="4" borderId="42" xfId="0" applyFont="1" applyFill="1" applyBorder="1" applyAlignment="1">
      <alignment horizontal="center" vertical="center" wrapText="1"/>
    </xf>
    <xf numFmtId="0" fontId="59" fillId="4" borderId="54" xfId="0" applyFont="1" applyFill="1" applyBorder="1" applyAlignment="1">
      <alignment horizontal="center" vertical="center" wrapText="1"/>
    </xf>
    <xf numFmtId="0" fontId="59" fillId="4" borderId="43" xfId="0" applyFont="1" applyFill="1" applyBorder="1" applyAlignment="1">
      <alignment horizontal="center" vertical="center" wrapText="1"/>
    </xf>
    <xf numFmtId="0" fontId="38" fillId="0" borderId="51" xfId="709" applyFont="1" applyBorder="1" applyAlignment="1">
      <alignment horizontal="center"/>
    </xf>
    <xf numFmtId="0" fontId="38" fillId="0" borderId="52" xfId="709" applyFont="1" applyBorder="1" applyAlignment="1">
      <alignment horizontal="center"/>
    </xf>
    <xf numFmtId="0" fontId="38" fillId="0" borderId="53" xfId="709" applyFont="1" applyBorder="1" applyAlignment="1">
      <alignment horizontal="center"/>
    </xf>
    <xf numFmtId="0" fontId="56" fillId="4" borderId="23" xfId="0" applyFont="1" applyFill="1" applyBorder="1" applyAlignment="1">
      <alignment horizontal="center" vertical="center"/>
    </xf>
    <xf numFmtId="0" fontId="56" fillId="4" borderId="17" xfId="0" applyFont="1" applyFill="1" applyBorder="1" applyAlignment="1">
      <alignment horizontal="center" vertical="center"/>
    </xf>
    <xf numFmtId="0" fontId="56" fillId="4" borderId="24" xfId="0" applyFont="1" applyFill="1" applyBorder="1" applyAlignment="1">
      <alignment horizontal="center" vertical="center"/>
    </xf>
    <xf numFmtId="0" fontId="56" fillId="4" borderId="22" xfId="0" applyFont="1" applyFill="1" applyBorder="1" applyAlignment="1">
      <alignment horizontal="center" vertical="center"/>
    </xf>
    <xf numFmtId="0" fontId="12" fillId="3" borderId="0" xfId="0" applyFont="1" applyFill="1" applyBorder="1" applyAlignment="1">
      <alignment horizontal="left" vertical="center" wrapText="1"/>
    </xf>
    <xf numFmtId="0" fontId="12" fillId="3" borderId="20" xfId="0" applyFont="1" applyFill="1" applyBorder="1" applyAlignment="1">
      <alignment horizontal="left" vertical="center" wrapText="1"/>
    </xf>
    <xf numFmtId="0" fontId="0" fillId="0" borderId="75" xfId="0" applyBorder="1" applyAlignment="1">
      <alignment horizontal="center"/>
    </xf>
    <xf numFmtId="0" fontId="0" fillId="0" borderId="39" xfId="0" applyBorder="1" applyAlignment="1">
      <alignment horizontal="center"/>
    </xf>
    <xf numFmtId="0" fontId="0" fillId="0" borderId="76" xfId="0" applyBorder="1" applyAlignment="1">
      <alignment horizontal="center"/>
    </xf>
    <xf numFmtId="0" fontId="0" fillId="0" borderId="37" xfId="0" applyBorder="1" applyAlignment="1">
      <alignment horizontal="center"/>
    </xf>
    <xf numFmtId="0" fontId="57" fillId="0" borderId="75" xfId="0" applyFont="1" applyBorder="1" applyAlignment="1">
      <alignment horizontal="center" wrapText="1"/>
    </xf>
    <xf numFmtId="0" fontId="58" fillId="0" borderId="77" xfId="0" applyFont="1" applyBorder="1" applyAlignment="1">
      <alignment horizontal="center" wrapText="1"/>
    </xf>
    <xf numFmtId="0" fontId="0" fillId="0" borderId="3" xfId="0" applyBorder="1" applyAlignment="1">
      <alignment wrapText="1"/>
    </xf>
    <xf numFmtId="0" fontId="0" fillId="0" borderId="1" xfId="0" applyBorder="1" applyAlignment="1">
      <alignment horizontal="center" wrapText="1"/>
    </xf>
    <xf numFmtId="0" fontId="0" fillId="0" borderId="1" xfId="0" applyBorder="1" applyAlignment="1">
      <alignment horizontal="center"/>
    </xf>
    <xf numFmtId="0" fontId="60" fillId="2" borderId="5" xfId="0" applyFont="1" applyFill="1" applyBorder="1" applyAlignment="1">
      <alignment horizontal="center" vertical="center" wrapText="1"/>
    </xf>
    <xf numFmtId="0" fontId="60" fillId="2" borderId="10" xfId="0" applyFont="1" applyFill="1" applyBorder="1" applyAlignment="1">
      <alignment horizontal="center" vertical="center" wrapText="1"/>
    </xf>
    <xf numFmtId="0" fontId="60" fillId="2" borderId="6" xfId="0" applyFont="1" applyFill="1" applyBorder="1" applyAlignment="1">
      <alignment horizontal="center" vertical="center" wrapText="1"/>
    </xf>
    <xf numFmtId="0" fontId="60" fillId="2" borderId="11" xfId="0" applyFont="1" applyFill="1" applyBorder="1" applyAlignment="1">
      <alignment horizontal="center" vertical="center" wrapText="1"/>
    </xf>
    <xf numFmtId="0" fontId="0" fillId="0" borderId="3" xfId="0" applyBorder="1" applyAlignment="1">
      <alignment horizontal="left" wrapText="1"/>
    </xf>
    <xf numFmtId="0" fontId="47" fillId="4" borderId="71" xfId="709" applyFont="1" applyFill="1" applyBorder="1" applyAlignment="1">
      <alignment horizontal="center" wrapText="1"/>
    </xf>
    <xf numFmtId="0" fontId="47" fillId="4" borderId="23" xfId="709" applyFont="1" applyFill="1" applyBorder="1" applyAlignment="1">
      <alignment horizontal="center" wrapText="1"/>
    </xf>
    <xf numFmtId="0" fontId="47" fillId="4" borderId="17" xfId="709" applyFont="1" applyFill="1" applyBorder="1" applyAlignment="1">
      <alignment horizontal="center" wrapText="1"/>
    </xf>
    <xf numFmtId="0" fontId="47" fillId="4" borderId="40" xfId="709" applyFont="1" applyFill="1" applyBorder="1" applyAlignment="1">
      <alignment horizontal="center" wrapText="1"/>
    </xf>
    <xf numFmtId="0" fontId="47" fillId="4" borderId="2" xfId="709" applyFont="1" applyFill="1" applyBorder="1" applyAlignment="1">
      <alignment horizontal="center" wrapText="1"/>
    </xf>
    <xf numFmtId="0" fontId="47" fillId="4" borderId="45" xfId="709" applyFont="1" applyFill="1" applyBorder="1" applyAlignment="1">
      <alignment horizontal="center" wrapText="1"/>
    </xf>
    <xf numFmtId="0" fontId="38" fillId="0" borderId="12" xfId="709" applyFont="1" applyBorder="1" applyAlignment="1">
      <alignment horizontal="center"/>
    </xf>
    <xf numFmtId="0" fontId="38" fillId="0" borderId="47" xfId="709" applyFont="1" applyBorder="1" applyAlignment="1">
      <alignment horizontal="center"/>
    </xf>
    <xf numFmtId="0" fontId="38" fillId="0" borderId="27" xfId="709" applyFont="1" applyBorder="1" applyAlignment="1">
      <alignment horizontal="center"/>
    </xf>
    <xf numFmtId="0" fontId="38" fillId="0" borderId="35" xfId="709" applyFont="1" applyBorder="1" applyAlignment="1">
      <alignment horizontal="center"/>
    </xf>
    <xf numFmtId="0" fontId="38" fillId="0" borderId="48" xfId="709" applyFont="1" applyBorder="1" applyAlignment="1">
      <alignment horizontal="center"/>
    </xf>
    <xf numFmtId="0" fontId="38" fillId="0" borderId="36" xfId="709" applyFont="1" applyBorder="1" applyAlignment="1">
      <alignment horizontal="center"/>
    </xf>
    <xf numFmtId="0" fontId="54" fillId="4" borderId="67" xfId="709" applyFont="1" applyFill="1" applyBorder="1" applyAlignment="1">
      <alignment horizontal="center"/>
    </xf>
    <xf numFmtId="0" fontId="54" fillId="4" borderId="52" xfId="709" applyFont="1" applyFill="1" applyBorder="1" applyAlignment="1">
      <alignment horizontal="center"/>
    </xf>
    <xf numFmtId="0" fontId="54" fillId="4" borderId="53" xfId="709" applyFont="1" applyFill="1" applyBorder="1" applyAlignment="1">
      <alignment horizontal="center"/>
    </xf>
    <xf numFmtId="0" fontId="38" fillId="0" borderId="25" xfId="709" applyFont="1" applyBorder="1" applyAlignment="1">
      <alignment horizontal="center"/>
    </xf>
    <xf numFmtId="0" fontId="38" fillId="0" borderId="14" xfId="709" applyFont="1" applyBorder="1" applyAlignment="1">
      <alignment horizontal="center"/>
    </xf>
    <xf numFmtId="0" fontId="38" fillId="0" borderId="15" xfId="709" applyFont="1" applyBorder="1" applyAlignment="1">
      <alignment horizontal="center"/>
    </xf>
    <xf numFmtId="0" fontId="55" fillId="4" borderId="67" xfId="709" applyFont="1" applyFill="1" applyBorder="1" applyAlignment="1">
      <alignment horizontal="center"/>
    </xf>
    <xf numFmtId="0" fontId="55" fillId="4" borderId="52" xfId="709" applyFont="1" applyFill="1" applyBorder="1" applyAlignment="1">
      <alignment horizontal="center"/>
    </xf>
    <xf numFmtId="0" fontId="55" fillId="4" borderId="53" xfId="709" applyFont="1" applyFill="1" applyBorder="1" applyAlignment="1">
      <alignment horizontal="center"/>
    </xf>
    <xf numFmtId="4" fontId="14" fillId="0" borderId="4" xfId="0" applyNumberFormat="1" applyFont="1" applyBorder="1" applyAlignment="1">
      <alignment horizontal="center"/>
    </xf>
    <xf numFmtId="4" fontId="14" fillId="0" borderId="6" xfId="0" applyNumberFormat="1" applyFont="1" applyBorder="1" applyAlignment="1">
      <alignment horizontal="center"/>
    </xf>
    <xf numFmtId="0" fontId="13" fillId="4" borderId="16" xfId="0" applyFont="1" applyFill="1" applyBorder="1" applyAlignment="1">
      <alignment horizontal="center" vertical="center"/>
    </xf>
    <xf numFmtId="0" fontId="13" fillId="4" borderId="23" xfId="0" applyFont="1" applyFill="1" applyBorder="1" applyAlignment="1">
      <alignment horizontal="center" vertical="center"/>
    </xf>
    <xf numFmtId="0" fontId="10" fillId="4" borderId="16" xfId="0" applyFont="1" applyFill="1" applyBorder="1" applyAlignment="1">
      <alignment horizontal="center" vertical="center" wrapText="1"/>
    </xf>
    <xf numFmtId="0" fontId="15" fillId="4" borderId="23" xfId="0" applyFont="1" applyFill="1" applyBorder="1" applyAlignment="1">
      <alignment horizontal="center" vertical="center" wrapText="1"/>
    </xf>
    <xf numFmtId="0" fontId="15" fillId="4" borderId="17" xfId="0" applyFont="1" applyFill="1" applyBorder="1" applyAlignment="1">
      <alignment horizontal="center" vertical="center" wrapText="1"/>
    </xf>
    <xf numFmtId="4" fontId="14" fillId="0" borderId="47" xfId="0" applyNumberFormat="1" applyFont="1" applyBorder="1" applyAlignment="1">
      <alignment horizontal="center"/>
    </xf>
    <xf numFmtId="4" fontId="14" fillId="0" borderId="7" xfId="0" applyNumberFormat="1" applyFont="1" applyBorder="1" applyAlignment="1">
      <alignment horizontal="center"/>
    </xf>
    <xf numFmtId="4" fontId="14" fillId="0" borderId="8" xfId="0" applyNumberFormat="1" applyFont="1" applyBorder="1" applyAlignment="1">
      <alignment horizontal="center"/>
    </xf>
    <xf numFmtId="0" fontId="13" fillId="4" borderId="16" xfId="0" applyFont="1" applyFill="1" applyBorder="1" applyAlignment="1">
      <alignment horizontal="center"/>
    </xf>
    <xf numFmtId="0" fontId="13" fillId="4" borderId="17" xfId="0" applyFont="1" applyFill="1" applyBorder="1" applyAlignment="1">
      <alignment horizontal="center"/>
    </xf>
    <xf numFmtId="14" fontId="13" fillId="4" borderId="19" xfId="0" applyNumberFormat="1" applyFont="1" applyFill="1" applyBorder="1" applyAlignment="1">
      <alignment horizontal="center"/>
    </xf>
    <xf numFmtId="0" fontId="13" fillId="4" borderId="20" xfId="0" applyFont="1" applyFill="1" applyBorder="1" applyAlignment="1">
      <alignment horizontal="center"/>
    </xf>
    <xf numFmtId="0" fontId="16" fillId="4" borderId="21" xfId="0" applyFont="1" applyFill="1" applyBorder="1" applyAlignment="1">
      <alignment horizontal="center" vertical="center" wrapText="1"/>
    </xf>
    <xf numFmtId="0" fontId="16" fillId="4" borderId="24" xfId="0" applyFont="1" applyFill="1" applyBorder="1" applyAlignment="1">
      <alignment horizontal="center" vertical="center" wrapText="1"/>
    </xf>
    <xf numFmtId="0" fontId="16" fillId="4" borderId="22" xfId="0" applyFont="1" applyFill="1" applyBorder="1" applyAlignment="1">
      <alignment horizontal="center" vertical="center" wrapText="1"/>
    </xf>
    <xf numFmtId="14" fontId="13" fillId="4" borderId="21" xfId="0" applyNumberFormat="1" applyFont="1" applyFill="1" applyBorder="1" applyAlignment="1">
      <alignment horizontal="center" vertical="center" wrapText="1"/>
    </xf>
    <xf numFmtId="14" fontId="13" fillId="4" borderId="24" xfId="0" applyNumberFormat="1" applyFont="1" applyFill="1" applyBorder="1" applyAlignment="1">
      <alignment horizontal="center" vertical="center" wrapText="1"/>
    </xf>
    <xf numFmtId="0" fontId="13" fillId="4" borderId="42" xfId="0" applyFont="1" applyFill="1" applyBorder="1" applyAlignment="1">
      <alignment horizontal="center" vertical="center"/>
    </xf>
    <xf numFmtId="0" fontId="13" fillId="4" borderId="54" xfId="0" applyFont="1" applyFill="1" applyBorder="1" applyAlignment="1">
      <alignment horizontal="center" vertical="center"/>
    </xf>
    <xf numFmtId="0" fontId="14" fillId="3" borderId="51" xfId="0" applyFont="1" applyFill="1" applyBorder="1" applyAlignment="1">
      <alignment horizontal="left" vertical="center" wrapText="1"/>
    </xf>
    <xf numFmtId="0" fontId="14" fillId="3" borderId="52" xfId="0" applyFont="1" applyFill="1" applyBorder="1" applyAlignment="1">
      <alignment horizontal="left" vertical="center" wrapText="1"/>
    </xf>
    <xf numFmtId="0" fontId="14" fillId="3" borderId="53" xfId="0" applyFont="1" applyFill="1" applyBorder="1" applyAlignment="1">
      <alignment horizontal="left" vertical="center" wrapText="1"/>
    </xf>
    <xf numFmtId="0" fontId="10" fillId="4" borderId="16" xfId="0" applyFont="1" applyFill="1" applyBorder="1" applyAlignment="1">
      <alignment horizontal="center" vertical="center"/>
    </xf>
    <xf numFmtId="0" fontId="10" fillId="4" borderId="23" xfId="0" applyFont="1" applyFill="1" applyBorder="1" applyAlignment="1">
      <alignment horizontal="center" vertical="center"/>
    </xf>
    <xf numFmtId="0" fontId="10" fillId="4" borderId="17" xfId="0" applyFont="1" applyFill="1" applyBorder="1" applyAlignment="1">
      <alignment horizontal="center" vertical="center"/>
    </xf>
    <xf numFmtId="4" fontId="14" fillId="3" borderId="56" xfId="0" applyNumberFormat="1" applyFont="1" applyFill="1" applyBorder="1" applyAlignment="1">
      <alignment horizontal="center" vertical="center"/>
    </xf>
    <xf numFmtId="4" fontId="14" fillId="3" borderId="36" xfId="0" applyNumberFormat="1" applyFont="1" applyFill="1" applyBorder="1" applyAlignment="1">
      <alignment horizontal="center" vertical="center"/>
    </xf>
    <xf numFmtId="14" fontId="33" fillId="6" borderId="63" xfId="0" applyNumberFormat="1" applyFont="1" applyFill="1" applyBorder="1" applyAlignment="1">
      <alignment horizontal="center" vertical="center"/>
    </xf>
    <xf numFmtId="14" fontId="33" fillId="6" borderId="59" xfId="0" applyNumberFormat="1" applyFont="1" applyFill="1" applyBorder="1" applyAlignment="1">
      <alignment horizontal="center" vertical="center"/>
    </xf>
    <xf numFmtId="0" fontId="13" fillId="4" borderId="42" xfId="0" applyFont="1" applyFill="1" applyBorder="1" applyAlignment="1">
      <alignment horizontal="center" vertical="center" wrapText="1"/>
    </xf>
    <xf numFmtId="0" fontId="13" fillId="4" borderId="54"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16" xfId="0" applyFont="1" applyFill="1" applyBorder="1" applyAlignment="1">
      <alignment horizontal="right" vertical="top"/>
    </xf>
    <xf numFmtId="0" fontId="13" fillId="4" borderId="23" xfId="0" applyFont="1" applyFill="1" applyBorder="1" applyAlignment="1">
      <alignment horizontal="right" vertical="top"/>
    </xf>
    <xf numFmtId="0" fontId="10" fillId="4" borderId="51" xfId="0" applyFont="1" applyFill="1" applyBorder="1" applyAlignment="1">
      <alignment horizontal="center" vertical="center"/>
    </xf>
    <xf numFmtId="0" fontId="10" fillId="4" borderId="52" xfId="0" applyFont="1" applyFill="1" applyBorder="1" applyAlignment="1">
      <alignment horizontal="center" vertical="center"/>
    </xf>
    <xf numFmtId="0" fontId="14" fillId="3" borderId="13" xfId="0" applyFont="1" applyFill="1" applyBorder="1" applyAlignment="1">
      <alignment horizontal="center" vertical="center"/>
    </xf>
    <xf numFmtId="0" fontId="14" fillId="3" borderId="15" xfId="0" applyFont="1" applyFill="1" applyBorder="1" applyAlignment="1">
      <alignment horizontal="center" vertical="center"/>
    </xf>
    <xf numFmtId="0" fontId="32" fillId="4" borderId="51" xfId="0" applyFont="1" applyFill="1" applyBorder="1" applyAlignment="1">
      <alignment horizontal="center" vertical="center" wrapText="1"/>
    </xf>
    <xf numFmtId="0" fontId="32" fillId="4" borderId="53" xfId="0" applyFont="1" applyFill="1" applyBorder="1" applyAlignment="1">
      <alignment horizontal="center" vertical="center" wrapText="1"/>
    </xf>
    <xf numFmtId="0" fontId="10" fillId="4" borderId="21" xfId="0" applyFont="1" applyFill="1" applyBorder="1" applyAlignment="1">
      <alignment horizontal="center" vertical="center"/>
    </xf>
    <xf numFmtId="0" fontId="10" fillId="4" borderId="24"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0" xfId="0" applyFont="1" applyFill="1" applyBorder="1" applyAlignment="1">
      <alignment horizontal="center" vertical="center"/>
    </xf>
    <xf numFmtId="0" fontId="13" fillId="4" borderId="43" xfId="0" applyFont="1" applyFill="1" applyBorder="1" applyAlignment="1">
      <alignment horizontal="center" vertical="center" wrapText="1"/>
    </xf>
    <xf numFmtId="0" fontId="13" fillId="4" borderId="43" xfId="0" applyFont="1" applyFill="1" applyBorder="1" applyAlignment="1">
      <alignment horizontal="center" vertical="center"/>
    </xf>
    <xf numFmtId="0" fontId="13" fillId="4" borderId="17" xfId="0" applyFont="1" applyFill="1" applyBorder="1" applyAlignment="1">
      <alignment horizontal="center" vertical="center"/>
    </xf>
    <xf numFmtId="0" fontId="13" fillId="4" borderId="21" xfId="0" applyFont="1" applyFill="1" applyBorder="1" applyAlignment="1">
      <alignment horizontal="center" vertical="center"/>
    </xf>
    <xf numFmtId="0" fontId="13" fillId="4" borderId="24" xfId="0" applyFont="1" applyFill="1" applyBorder="1" applyAlignment="1">
      <alignment horizontal="center" vertical="center"/>
    </xf>
    <xf numFmtId="0" fontId="13" fillId="4" borderId="22" xfId="0" applyFont="1" applyFill="1" applyBorder="1" applyAlignment="1">
      <alignment horizontal="center" vertical="center"/>
    </xf>
    <xf numFmtId="14" fontId="33" fillId="6" borderId="51" xfId="0" applyNumberFormat="1" applyFont="1" applyFill="1" applyBorder="1" applyAlignment="1">
      <alignment horizontal="center" vertical="center"/>
    </xf>
    <xf numFmtId="14" fontId="33" fillId="6" borderId="53" xfId="0" applyNumberFormat="1" applyFont="1" applyFill="1" applyBorder="1" applyAlignment="1">
      <alignment horizontal="center" vertical="center"/>
    </xf>
    <xf numFmtId="14" fontId="13" fillId="4" borderId="51" xfId="0" applyNumberFormat="1" applyFont="1" applyFill="1" applyBorder="1" applyAlignment="1">
      <alignment horizontal="center" vertical="center"/>
    </xf>
    <xf numFmtId="14" fontId="13" fillId="4" borderId="52" xfId="0" applyNumberFormat="1" applyFont="1" applyFill="1" applyBorder="1" applyAlignment="1">
      <alignment horizontal="center" vertical="center"/>
    </xf>
    <xf numFmtId="10" fontId="13" fillId="4" borderId="23" xfId="0" applyNumberFormat="1" applyFont="1" applyFill="1" applyBorder="1" applyAlignment="1">
      <alignment horizontal="left" vertical="center"/>
    </xf>
    <xf numFmtId="10" fontId="13" fillId="4" borderId="17" xfId="0" applyNumberFormat="1" applyFont="1" applyFill="1" applyBorder="1" applyAlignment="1">
      <alignment horizontal="left" vertical="center"/>
    </xf>
    <xf numFmtId="0" fontId="14" fillId="4" borderId="44" xfId="0" applyFont="1" applyFill="1" applyBorder="1" applyAlignment="1">
      <alignment horizontal="left" vertical="center" wrapText="1"/>
    </xf>
    <xf numFmtId="0" fontId="14" fillId="4" borderId="47" xfId="0" applyFont="1" applyFill="1" applyBorder="1" applyAlignment="1">
      <alignment horizontal="left" vertical="center" wrapText="1"/>
    </xf>
    <xf numFmtId="0" fontId="14" fillId="4" borderId="27" xfId="0" applyFont="1" applyFill="1" applyBorder="1" applyAlignment="1">
      <alignment horizontal="left" vertical="center" wrapText="1"/>
    </xf>
    <xf numFmtId="4" fontId="14" fillId="3" borderId="13" xfId="0" applyNumberFormat="1" applyFont="1" applyFill="1" applyBorder="1" applyAlignment="1">
      <alignment horizontal="center" vertical="center"/>
    </xf>
    <xf numFmtId="4" fontId="14" fillId="3" borderId="15" xfId="0" applyNumberFormat="1" applyFont="1" applyFill="1" applyBorder="1" applyAlignment="1">
      <alignment horizontal="center" vertical="center"/>
    </xf>
    <xf numFmtId="14" fontId="13" fillId="4" borderId="21" xfId="0" applyNumberFormat="1" applyFont="1" applyFill="1" applyBorder="1" applyAlignment="1">
      <alignment horizontal="center" vertical="center"/>
    </xf>
    <xf numFmtId="0" fontId="33" fillId="6" borderId="16" xfId="0" applyFont="1" applyFill="1" applyBorder="1" applyAlignment="1">
      <alignment horizontal="center" vertical="center"/>
    </xf>
    <xf numFmtId="0" fontId="33" fillId="6" borderId="23" xfId="0" applyFont="1" applyFill="1" applyBorder="1" applyAlignment="1">
      <alignment horizontal="center" vertical="center"/>
    </xf>
    <xf numFmtId="0" fontId="33" fillId="6" borderId="17" xfId="0" applyFont="1" applyFill="1" applyBorder="1" applyAlignment="1">
      <alignment horizontal="center" vertical="center"/>
    </xf>
    <xf numFmtId="0" fontId="33" fillId="6" borderId="21" xfId="0" applyFont="1" applyFill="1" applyBorder="1" applyAlignment="1">
      <alignment horizontal="center" vertical="center"/>
    </xf>
    <xf numFmtId="0" fontId="33" fillId="6" borderId="24" xfId="0" applyFont="1" applyFill="1" applyBorder="1" applyAlignment="1">
      <alignment horizontal="center" vertical="center"/>
    </xf>
    <xf numFmtId="0" fontId="33" fillId="6" borderId="22" xfId="0" applyFont="1" applyFill="1" applyBorder="1" applyAlignment="1">
      <alignment horizontal="center" vertical="center"/>
    </xf>
    <xf numFmtId="0" fontId="14" fillId="4" borderId="16" xfId="0" applyFont="1" applyFill="1" applyBorder="1" applyAlignment="1">
      <alignment horizontal="left" vertical="center" wrapText="1" shrinkToFit="1"/>
    </xf>
    <xf numFmtId="0" fontId="14" fillId="4" borderId="23" xfId="0" applyFont="1" applyFill="1" applyBorder="1" applyAlignment="1">
      <alignment horizontal="left" vertical="center" wrapText="1" shrinkToFit="1"/>
    </xf>
    <xf numFmtId="0" fontId="14" fillId="4" borderId="17" xfId="0" applyFont="1" applyFill="1" applyBorder="1" applyAlignment="1">
      <alignment horizontal="left" vertical="center" wrapText="1" shrinkToFit="1"/>
    </xf>
    <xf numFmtId="0" fontId="14" fillId="4" borderId="21" xfId="0" applyFont="1" applyFill="1" applyBorder="1" applyAlignment="1">
      <alignment horizontal="left" vertical="center" wrapText="1" shrinkToFit="1"/>
    </xf>
    <xf numFmtId="0" fontId="14" fillId="4" borderId="24" xfId="0" applyFont="1" applyFill="1" applyBorder="1" applyAlignment="1">
      <alignment horizontal="left" vertical="center" wrapText="1" shrinkToFit="1"/>
    </xf>
    <xf numFmtId="0" fontId="14" fillId="4" borderId="22" xfId="0" applyFont="1" applyFill="1" applyBorder="1" applyAlignment="1">
      <alignment horizontal="left" vertical="center" wrapText="1" shrinkToFit="1"/>
    </xf>
    <xf numFmtId="4" fontId="14" fillId="0" borderId="56" xfId="0" applyNumberFormat="1" applyFont="1" applyBorder="1" applyAlignment="1">
      <alignment horizontal="center"/>
    </xf>
    <xf numFmtId="4" fontId="14" fillId="0" borderId="36" xfId="0" applyNumberFormat="1" applyFont="1" applyBorder="1" applyAlignment="1">
      <alignment horizontal="center"/>
    </xf>
    <xf numFmtId="49" fontId="13" fillId="4" borderId="19" xfId="0" applyNumberFormat="1" applyFont="1" applyFill="1" applyBorder="1" applyAlignment="1">
      <alignment horizontal="center"/>
    </xf>
    <xf numFmtId="4" fontId="14" fillId="0" borderId="48" xfId="0" applyNumberFormat="1" applyFont="1" applyBorder="1" applyAlignment="1">
      <alignment horizontal="center"/>
    </xf>
    <xf numFmtId="4" fontId="14" fillId="0" borderId="2" xfId="0" applyNumberFormat="1" applyFont="1" applyBorder="1" applyAlignment="1">
      <alignment horizontal="center"/>
    </xf>
    <xf numFmtId="4" fontId="14" fillId="0" borderId="45" xfId="0" applyNumberFormat="1" applyFont="1" applyBorder="1" applyAlignment="1">
      <alignment horizontal="center"/>
    </xf>
    <xf numFmtId="4" fontId="14" fillId="0" borderId="34" xfId="0" applyNumberFormat="1" applyFont="1" applyBorder="1" applyAlignment="1">
      <alignment horizontal="center"/>
    </xf>
    <xf numFmtId="0" fontId="14" fillId="4" borderId="21" xfId="0" applyFont="1" applyFill="1" applyBorder="1" applyAlignment="1">
      <alignment horizontal="center" vertical="top"/>
    </xf>
    <xf numFmtId="0" fontId="14" fillId="4" borderId="24" xfId="0" applyFont="1" applyFill="1" applyBorder="1" applyAlignment="1">
      <alignment horizontal="center" vertical="top"/>
    </xf>
    <xf numFmtId="0" fontId="14" fillId="4" borderId="22" xfId="0" applyFont="1" applyFill="1" applyBorder="1" applyAlignment="1">
      <alignment horizontal="center" vertical="top"/>
    </xf>
    <xf numFmtId="14" fontId="33" fillId="6" borderId="65" xfId="0" applyNumberFormat="1" applyFont="1" applyFill="1" applyBorder="1" applyAlignment="1">
      <alignment horizontal="center" vertical="center"/>
    </xf>
    <xf numFmtId="14" fontId="33" fillId="6" borderId="57" xfId="0" applyNumberFormat="1" applyFont="1" applyFill="1" applyBorder="1" applyAlignment="1">
      <alignment horizontal="center" vertical="center"/>
    </xf>
    <xf numFmtId="4" fontId="14" fillId="3" borderId="56" xfId="0" applyNumberFormat="1" applyFont="1" applyFill="1" applyBorder="1" applyAlignment="1">
      <alignment horizontal="center"/>
    </xf>
    <xf numFmtId="4" fontId="14" fillId="3" borderId="36" xfId="0" applyNumberFormat="1" applyFont="1" applyFill="1" applyBorder="1" applyAlignment="1">
      <alignment horizontal="center"/>
    </xf>
    <xf numFmtId="0" fontId="23" fillId="4" borderId="16" xfId="0" applyFont="1" applyFill="1" applyBorder="1" applyAlignment="1">
      <alignment horizontal="center" vertical="center"/>
    </xf>
    <xf numFmtId="0" fontId="23" fillId="4" borderId="23" xfId="0" applyFont="1" applyFill="1" applyBorder="1" applyAlignment="1">
      <alignment horizontal="center" vertical="center"/>
    </xf>
    <xf numFmtId="0" fontId="23" fillId="4" borderId="17" xfId="0" applyFont="1" applyFill="1" applyBorder="1" applyAlignment="1">
      <alignment horizontal="center" vertical="center"/>
    </xf>
    <xf numFmtId="0" fontId="10" fillId="4" borderId="53" xfId="0" applyFont="1" applyFill="1" applyBorder="1" applyAlignment="1">
      <alignment horizontal="center" vertical="center"/>
    </xf>
    <xf numFmtId="14" fontId="23" fillId="4" borderId="19" xfId="0" applyNumberFormat="1" applyFont="1" applyFill="1" applyBorder="1" applyAlignment="1">
      <alignment horizontal="center"/>
    </xf>
    <xf numFmtId="14" fontId="23" fillId="4" borderId="0" xfId="0" applyNumberFormat="1" applyFont="1" applyFill="1" applyBorder="1" applyAlignment="1">
      <alignment horizontal="center"/>
    </xf>
    <xf numFmtId="14" fontId="23" fillId="4" borderId="20" xfId="0" applyNumberFormat="1" applyFont="1" applyFill="1" applyBorder="1" applyAlignment="1">
      <alignment horizontal="center"/>
    </xf>
    <xf numFmtId="0" fontId="32" fillId="8" borderId="19" xfId="0" applyFont="1" applyFill="1" applyBorder="1" applyAlignment="1">
      <alignment horizontal="left" vertical="center" wrapText="1"/>
    </xf>
    <xf numFmtId="0" fontId="32" fillId="8" borderId="0" xfId="0" applyFont="1" applyFill="1" applyBorder="1" applyAlignment="1">
      <alignment horizontal="left" vertical="center" wrapText="1"/>
    </xf>
    <xf numFmtId="0" fontId="32" fillId="8" borderId="20" xfId="0" applyFont="1" applyFill="1" applyBorder="1" applyAlignment="1">
      <alignment horizontal="left" vertical="center" wrapText="1"/>
    </xf>
    <xf numFmtId="0" fontId="32" fillId="8" borderId="21" xfId="0" applyFont="1" applyFill="1" applyBorder="1" applyAlignment="1">
      <alignment horizontal="left" vertical="center" wrapText="1"/>
    </xf>
    <xf numFmtId="0" fontId="32" fillId="8" borderId="24" xfId="0" applyFont="1" applyFill="1" applyBorder="1" applyAlignment="1">
      <alignment horizontal="left" vertical="center" wrapText="1"/>
    </xf>
    <xf numFmtId="0" fontId="32" fillId="8" borderId="22" xfId="0" applyFont="1" applyFill="1" applyBorder="1" applyAlignment="1">
      <alignment horizontal="left" vertical="center" wrapText="1"/>
    </xf>
    <xf numFmtId="4" fontId="14" fillId="0" borderId="13" xfId="0" applyNumberFormat="1" applyFont="1" applyBorder="1" applyAlignment="1">
      <alignment horizontal="center"/>
    </xf>
    <xf numFmtId="4" fontId="14" fillId="0" borderId="15" xfId="0" applyNumberFormat="1" applyFont="1" applyBorder="1" applyAlignment="1">
      <alignment horizontal="center"/>
    </xf>
    <xf numFmtId="4" fontId="14" fillId="0" borderId="14" xfId="0" applyNumberFormat="1" applyFont="1" applyBorder="1" applyAlignment="1">
      <alignment horizontal="center"/>
    </xf>
    <xf numFmtId="4" fontId="14" fillId="0" borderId="38" xfId="0" applyNumberFormat="1" applyFont="1" applyBorder="1" applyAlignment="1">
      <alignment horizontal="center"/>
    </xf>
    <xf numFmtId="4" fontId="14" fillId="0" borderId="37" xfId="0" applyNumberFormat="1" applyFont="1" applyBorder="1" applyAlignment="1">
      <alignment horizontal="center"/>
    </xf>
    <xf numFmtId="4" fontId="14" fillId="0" borderId="9" xfId="0" applyNumberFormat="1" applyFont="1" applyBorder="1" applyAlignment="1">
      <alignment horizontal="center"/>
    </xf>
    <xf numFmtId="4" fontId="14" fillId="0" borderId="11" xfId="0" applyNumberFormat="1" applyFont="1" applyBorder="1" applyAlignment="1">
      <alignment horizontal="center"/>
    </xf>
    <xf numFmtId="14" fontId="33" fillId="6" borderId="66" xfId="0" applyNumberFormat="1" applyFont="1" applyFill="1" applyBorder="1" applyAlignment="1">
      <alignment horizontal="center" vertical="center"/>
    </xf>
    <xf numFmtId="0" fontId="16" fillId="4" borderId="21" xfId="0" applyFont="1" applyFill="1" applyBorder="1" applyAlignment="1">
      <alignment horizontal="center" vertical="center"/>
    </xf>
    <xf numFmtId="0" fontId="16" fillId="4" borderId="24" xfId="0" applyFont="1" applyFill="1" applyBorder="1" applyAlignment="1">
      <alignment horizontal="center" vertical="center"/>
    </xf>
    <xf numFmtId="0" fontId="16" fillId="4" borderId="22" xfId="0" applyFont="1" applyFill="1" applyBorder="1" applyAlignment="1">
      <alignment horizontal="center" vertical="center"/>
    </xf>
    <xf numFmtId="0" fontId="23" fillId="4" borderId="16" xfId="0" applyFont="1" applyFill="1" applyBorder="1" applyAlignment="1">
      <alignment horizontal="center"/>
    </xf>
    <xf numFmtId="0" fontId="23" fillId="4" borderId="23" xfId="0" applyFont="1" applyFill="1" applyBorder="1" applyAlignment="1">
      <alignment horizontal="center"/>
    </xf>
    <xf numFmtId="0" fontId="23" fillId="4" borderId="17" xfId="0" applyFont="1" applyFill="1" applyBorder="1" applyAlignment="1">
      <alignment horizontal="center"/>
    </xf>
    <xf numFmtId="0" fontId="13" fillId="4" borderId="13" xfId="0" applyFont="1" applyFill="1" applyBorder="1" applyAlignment="1">
      <alignment horizontal="center" vertical="center"/>
    </xf>
    <xf numFmtId="0" fontId="13" fillId="4" borderId="14" xfId="0" applyFont="1" applyFill="1" applyBorder="1" applyAlignment="1">
      <alignment horizontal="center" vertical="center"/>
    </xf>
    <xf numFmtId="0" fontId="13" fillId="4" borderId="15" xfId="0" applyFont="1" applyFill="1" applyBorder="1" applyAlignment="1">
      <alignment horizontal="center" vertical="center"/>
    </xf>
    <xf numFmtId="0" fontId="14" fillId="4" borderId="13" xfId="0" applyFont="1" applyFill="1" applyBorder="1" applyAlignment="1">
      <alignment horizontal="left" wrapText="1"/>
    </xf>
    <xf numFmtId="0" fontId="14" fillId="4" borderId="15" xfId="0" applyFont="1" applyFill="1" applyBorder="1" applyAlignment="1">
      <alignment horizontal="left" wrapText="1"/>
    </xf>
    <xf numFmtId="0" fontId="13" fillId="4" borderId="19"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22" xfId="0" applyFont="1" applyFill="1" applyBorder="1" applyAlignment="1">
      <alignment horizontal="center" vertical="center" wrapText="1"/>
    </xf>
    <xf numFmtId="0" fontId="23" fillId="4" borderId="19" xfId="0" applyFont="1" applyFill="1" applyBorder="1" applyAlignment="1">
      <alignment horizontal="center"/>
    </xf>
    <xf numFmtId="0" fontId="23" fillId="4" borderId="0" xfId="0" applyFont="1" applyFill="1" applyBorder="1" applyAlignment="1">
      <alignment horizontal="center"/>
    </xf>
    <xf numFmtId="0" fontId="23" fillId="4" borderId="20" xfId="0" applyFont="1" applyFill="1" applyBorder="1" applyAlignment="1">
      <alignment horizontal="center"/>
    </xf>
    <xf numFmtId="0" fontId="13" fillId="4" borderId="56" xfId="0" applyFont="1" applyFill="1" applyBorder="1" applyAlignment="1">
      <alignment horizontal="center" vertical="center" wrapText="1"/>
    </xf>
    <xf numFmtId="0" fontId="13" fillId="4" borderId="36"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4" fillId="7" borderId="44" xfId="0" applyFont="1" applyFill="1" applyBorder="1" applyAlignment="1" applyProtection="1">
      <alignment horizontal="center" vertical="center"/>
      <protection locked="0"/>
    </xf>
    <xf numFmtId="0" fontId="14" fillId="7" borderId="47" xfId="0" applyFont="1" applyFill="1" applyBorder="1" applyAlignment="1" applyProtection="1">
      <alignment horizontal="center" vertical="center"/>
      <protection locked="0"/>
    </xf>
    <xf numFmtId="0" fontId="14" fillId="7" borderId="27" xfId="0" applyFont="1" applyFill="1" applyBorder="1" applyAlignment="1" applyProtection="1">
      <alignment horizontal="center" vertical="center"/>
      <protection locked="0"/>
    </xf>
    <xf numFmtId="4" fontId="14" fillId="0" borderId="56" xfId="0" applyNumberFormat="1" applyFont="1" applyBorder="1" applyAlignment="1" applyProtection="1">
      <alignment horizontal="center" vertical="center"/>
    </xf>
    <xf numFmtId="4" fontId="14" fillId="0" borderId="48" xfId="0" applyNumberFormat="1" applyFont="1" applyBorder="1" applyAlignment="1" applyProtection="1">
      <alignment horizontal="center" vertical="center"/>
    </xf>
    <xf numFmtId="4" fontId="14" fillId="0" borderId="36" xfId="0" applyNumberFormat="1" applyFont="1" applyBorder="1" applyAlignment="1" applyProtection="1">
      <alignment horizontal="center" vertical="center"/>
    </xf>
    <xf numFmtId="0" fontId="10" fillId="4" borderId="23"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23" fillId="3" borderId="0" xfId="0" applyFont="1" applyFill="1" applyBorder="1" applyAlignment="1">
      <alignment horizontal="center"/>
    </xf>
    <xf numFmtId="0" fontId="50" fillId="8" borderId="21" xfId="0" applyFont="1" applyFill="1" applyBorder="1" applyAlignment="1">
      <alignment horizontal="center"/>
    </xf>
    <xf numFmtId="0" fontId="50" fillId="8" borderId="24" xfId="0" applyFont="1" applyFill="1" applyBorder="1" applyAlignment="1">
      <alignment horizontal="center"/>
    </xf>
    <xf numFmtId="0" fontId="50" fillId="8" borderId="22" xfId="0" applyFont="1" applyFill="1" applyBorder="1" applyAlignment="1">
      <alignment horizontal="center"/>
    </xf>
    <xf numFmtId="0" fontId="13" fillId="4" borderId="51" xfId="0" applyFont="1" applyFill="1" applyBorder="1" applyAlignment="1">
      <alignment horizontal="center" vertical="center"/>
    </xf>
    <xf numFmtId="0" fontId="13" fillId="4" borderId="52" xfId="0" applyFont="1" applyFill="1" applyBorder="1" applyAlignment="1">
      <alignment horizontal="center" vertical="center"/>
    </xf>
    <xf numFmtId="0" fontId="13" fillId="4" borderId="53" xfId="0" applyFont="1" applyFill="1" applyBorder="1" applyAlignment="1">
      <alignment horizontal="center" vertical="center"/>
    </xf>
    <xf numFmtId="0" fontId="13" fillId="4" borderId="59" xfId="0" applyFont="1" applyFill="1" applyBorder="1" applyAlignment="1">
      <alignment horizontal="center" vertical="center" wrapText="1"/>
    </xf>
    <xf numFmtId="0" fontId="13" fillId="4" borderId="60" xfId="0" applyFont="1" applyFill="1" applyBorder="1" applyAlignment="1">
      <alignment horizontal="center" vertical="center" wrapText="1"/>
    </xf>
    <xf numFmtId="0" fontId="13" fillId="4" borderId="55" xfId="0" applyFont="1" applyFill="1" applyBorder="1" applyAlignment="1">
      <alignment horizontal="center" vertical="center" wrapText="1"/>
    </xf>
    <xf numFmtId="3" fontId="13" fillId="4" borderId="58" xfId="0" applyNumberFormat="1" applyFont="1" applyFill="1" applyBorder="1" applyAlignment="1">
      <alignment horizontal="center" vertical="center" wrapText="1"/>
    </xf>
    <xf numFmtId="3" fontId="13" fillId="4" borderId="64" xfId="0" applyNumberFormat="1" applyFont="1" applyFill="1" applyBorder="1" applyAlignment="1">
      <alignment horizontal="center" vertical="center" wrapText="1"/>
    </xf>
    <xf numFmtId="3" fontId="13" fillId="4" borderId="31" xfId="0" applyNumberFormat="1" applyFont="1" applyFill="1" applyBorder="1" applyAlignment="1">
      <alignment horizontal="center" vertical="center" wrapText="1"/>
    </xf>
    <xf numFmtId="0" fontId="13" fillId="4" borderId="0" xfId="0" applyFont="1" applyFill="1" applyBorder="1" applyAlignment="1">
      <alignment horizontal="center" vertical="center"/>
    </xf>
    <xf numFmtId="0" fontId="13" fillId="4" borderId="20" xfId="0" applyFont="1" applyFill="1" applyBorder="1" applyAlignment="1">
      <alignment horizontal="center" vertical="center"/>
    </xf>
    <xf numFmtId="0" fontId="10" fillId="4" borderId="16" xfId="0" applyFont="1" applyFill="1" applyBorder="1" applyAlignment="1">
      <alignment horizontal="center"/>
    </xf>
    <xf numFmtId="0" fontId="10" fillId="4" borderId="23" xfId="0" applyFont="1" applyFill="1" applyBorder="1" applyAlignment="1">
      <alignment horizontal="center"/>
    </xf>
    <xf numFmtId="0" fontId="10" fillId="4" borderId="17" xfId="0" applyFont="1" applyFill="1" applyBorder="1" applyAlignment="1">
      <alignment horizontal="center"/>
    </xf>
    <xf numFmtId="0" fontId="61" fillId="4" borderId="19" xfId="0" applyFont="1" applyFill="1" applyBorder="1" applyAlignment="1">
      <alignment horizontal="center"/>
    </xf>
    <xf numFmtId="0" fontId="61" fillId="4" borderId="0" xfId="0" applyFont="1" applyFill="1" applyBorder="1" applyAlignment="1">
      <alignment horizontal="center"/>
    </xf>
    <xf numFmtId="0" fontId="61" fillId="4" borderId="20" xfId="0" applyFont="1" applyFill="1" applyBorder="1" applyAlignment="1">
      <alignment horizontal="center"/>
    </xf>
    <xf numFmtId="0" fontId="12" fillId="3" borderId="0" xfId="0" applyFont="1" applyFill="1" applyBorder="1" applyAlignment="1">
      <alignment horizontal="left"/>
    </xf>
    <xf numFmtId="14" fontId="33" fillId="6" borderId="61" xfId="0" applyNumberFormat="1" applyFont="1" applyFill="1" applyBorder="1" applyAlignment="1">
      <alignment horizontal="center" vertical="center"/>
    </xf>
    <xf numFmtId="0" fontId="14" fillId="4" borderId="44" xfId="0" applyFont="1" applyFill="1" applyBorder="1" applyAlignment="1">
      <alignment horizontal="left" vertical="center"/>
    </xf>
    <xf numFmtId="0" fontId="14" fillId="4" borderId="47" xfId="0" applyFont="1" applyFill="1" applyBorder="1" applyAlignment="1">
      <alignment horizontal="left" vertical="center"/>
    </xf>
    <xf numFmtId="0" fontId="16" fillId="4" borderId="21" xfId="0" applyNumberFormat="1" applyFont="1" applyFill="1" applyBorder="1" applyAlignment="1">
      <alignment horizontal="center" vertical="center" wrapText="1"/>
    </xf>
    <xf numFmtId="0" fontId="16" fillId="4" borderId="24" xfId="0" applyNumberFormat="1" applyFont="1" applyFill="1" applyBorder="1" applyAlignment="1">
      <alignment horizontal="center" vertical="center" wrapText="1"/>
    </xf>
    <xf numFmtId="0" fontId="16" fillId="4" borderId="22" xfId="0" applyNumberFormat="1" applyFont="1" applyFill="1" applyBorder="1" applyAlignment="1">
      <alignment horizontal="center" vertical="center" wrapText="1"/>
    </xf>
    <xf numFmtId="0" fontId="16" fillId="4" borderId="21" xfId="0" applyFont="1" applyFill="1" applyBorder="1" applyAlignment="1">
      <alignment horizontal="center"/>
    </xf>
    <xf numFmtId="0" fontId="16" fillId="4" borderId="24" xfId="0" applyFont="1" applyFill="1" applyBorder="1" applyAlignment="1">
      <alignment horizontal="center"/>
    </xf>
    <xf numFmtId="0" fontId="16" fillId="4" borderId="22" xfId="0" applyFont="1" applyFill="1" applyBorder="1" applyAlignment="1">
      <alignment horizontal="center"/>
    </xf>
    <xf numFmtId="0" fontId="14" fillId="4" borderId="16" xfId="0" applyFont="1" applyFill="1" applyBorder="1" applyAlignment="1">
      <alignment horizontal="left" vertical="center" wrapText="1"/>
    </xf>
    <xf numFmtId="0" fontId="14" fillId="4" borderId="23" xfId="0" applyFont="1" applyFill="1" applyBorder="1" applyAlignment="1">
      <alignment horizontal="left" vertical="center" wrapText="1"/>
    </xf>
    <xf numFmtId="0" fontId="14" fillId="4" borderId="17" xfId="0" applyFont="1" applyFill="1" applyBorder="1" applyAlignment="1">
      <alignment horizontal="left" vertical="center" wrapText="1"/>
    </xf>
    <xf numFmtId="0" fontId="14" fillId="4" borderId="21" xfId="0" applyFont="1" applyFill="1" applyBorder="1" applyAlignment="1">
      <alignment horizontal="left" vertical="center" wrapText="1"/>
    </xf>
    <xf numFmtId="0" fontId="14" fillId="4" borderId="24" xfId="0" applyFont="1" applyFill="1" applyBorder="1" applyAlignment="1">
      <alignment horizontal="left" vertical="center" wrapText="1"/>
    </xf>
    <xf numFmtId="0" fontId="14" fillId="4" borderId="22" xfId="0" applyFont="1" applyFill="1" applyBorder="1" applyAlignment="1">
      <alignment horizontal="left" vertical="center" wrapText="1"/>
    </xf>
    <xf numFmtId="0" fontId="14" fillId="4" borderId="13" xfId="0" quotePrefix="1" applyFont="1" applyFill="1" applyBorder="1" applyAlignment="1">
      <alignment horizontal="left"/>
    </xf>
    <xf numFmtId="0" fontId="14" fillId="4" borderId="14" xfId="0" quotePrefix="1" applyFont="1" applyFill="1" applyBorder="1" applyAlignment="1">
      <alignment horizontal="left"/>
    </xf>
    <xf numFmtId="0" fontId="14" fillId="4" borderId="56" xfId="0" quotePrefix="1" applyFont="1" applyFill="1" applyBorder="1" applyAlignment="1">
      <alignment horizontal="left"/>
    </xf>
    <xf numFmtId="0" fontId="14" fillId="4" borderId="48" xfId="0" quotePrefix="1" applyFont="1" applyFill="1" applyBorder="1" applyAlignment="1">
      <alignment horizontal="left"/>
    </xf>
    <xf numFmtId="0" fontId="13" fillId="4" borderId="19" xfId="0" applyFont="1" applyFill="1" applyBorder="1" applyAlignment="1">
      <alignment horizontal="center" vertical="center"/>
    </xf>
    <xf numFmtId="0" fontId="13" fillId="4" borderId="23" xfId="0" applyFont="1" applyFill="1" applyBorder="1" applyAlignment="1">
      <alignment horizontal="center" vertical="center" wrapText="1"/>
    </xf>
    <xf numFmtId="0" fontId="14" fillId="4" borderId="51" xfId="0" applyFont="1" applyFill="1" applyBorder="1" applyAlignment="1">
      <alignment horizontal="left"/>
    </xf>
    <xf numFmtId="0" fontId="14" fillId="4" borderId="52" xfId="0" applyFont="1" applyFill="1" applyBorder="1" applyAlignment="1">
      <alignment horizontal="left"/>
    </xf>
    <xf numFmtId="0" fontId="13" fillId="4" borderId="16" xfId="0" applyFont="1" applyFill="1" applyBorder="1" applyAlignment="1">
      <alignment horizontal="right" vertical="center"/>
    </xf>
    <xf numFmtId="0" fontId="13" fillId="4" borderId="23" xfId="0" applyFont="1" applyFill="1" applyBorder="1" applyAlignment="1">
      <alignment horizontal="right" vertical="center"/>
    </xf>
    <xf numFmtId="4" fontId="14" fillId="0" borderId="44" xfId="0" applyNumberFormat="1" applyFont="1" applyBorder="1" applyAlignment="1">
      <alignment horizontal="center"/>
    </xf>
    <xf numFmtId="4" fontId="14" fillId="0" borderId="27" xfId="0" applyNumberFormat="1" applyFont="1" applyBorder="1" applyAlignment="1">
      <alignment horizontal="center"/>
    </xf>
    <xf numFmtId="9" fontId="13" fillId="4" borderId="51" xfId="0" applyNumberFormat="1" applyFont="1" applyFill="1" applyBorder="1" applyAlignment="1">
      <alignment horizontal="center" vertical="center" wrapText="1"/>
    </xf>
    <xf numFmtId="9" fontId="13" fillId="4" borderId="53" xfId="0" applyNumberFormat="1" applyFont="1" applyFill="1" applyBorder="1" applyAlignment="1">
      <alignment horizontal="center" vertical="center" wrapText="1"/>
    </xf>
    <xf numFmtId="0" fontId="11" fillId="3" borderId="23" xfId="0" applyFont="1" applyFill="1" applyBorder="1" applyAlignment="1">
      <alignment horizontal="left" vertical="top" wrapText="1"/>
    </xf>
    <xf numFmtId="0" fontId="11" fillId="3" borderId="0" xfId="0" applyFont="1" applyFill="1" applyBorder="1" applyAlignment="1">
      <alignment horizontal="left" vertical="top" wrapText="1"/>
    </xf>
    <xf numFmtId="9" fontId="13" fillId="4" borderId="65" xfId="0" applyNumberFormat="1" applyFont="1" applyFill="1" applyBorder="1" applyAlignment="1">
      <alignment horizontal="center" vertical="center" wrapText="1"/>
    </xf>
    <xf numFmtId="9" fontId="13" fillId="4" borderId="57" xfId="0" applyNumberFormat="1" applyFont="1" applyFill="1" applyBorder="1" applyAlignment="1">
      <alignment horizontal="center" vertical="center" wrapText="1"/>
    </xf>
    <xf numFmtId="14" fontId="23" fillId="4" borderId="19" xfId="0" applyNumberFormat="1" applyFont="1" applyFill="1" applyBorder="1" applyAlignment="1">
      <alignment horizontal="center" vertical="center"/>
    </xf>
    <xf numFmtId="14" fontId="23" fillId="4" borderId="0" xfId="0" applyNumberFormat="1" applyFont="1" applyFill="1" applyBorder="1" applyAlignment="1">
      <alignment horizontal="center" vertical="center"/>
    </xf>
    <xf numFmtId="14" fontId="23" fillId="4" borderId="20" xfId="0" applyNumberFormat="1" applyFont="1" applyFill="1" applyBorder="1" applyAlignment="1">
      <alignment horizontal="center" vertical="center"/>
    </xf>
    <xf numFmtId="0" fontId="13" fillId="4" borderId="20" xfId="0" applyNumberFormat="1" applyFont="1" applyFill="1" applyBorder="1" applyAlignment="1">
      <alignment horizontal="center"/>
    </xf>
    <xf numFmtId="49" fontId="33" fillId="6" borderId="21" xfId="0" applyNumberFormat="1" applyFont="1" applyFill="1" applyBorder="1" applyAlignment="1">
      <alignment horizontal="center" vertical="center"/>
    </xf>
    <xf numFmtId="14" fontId="33" fillId="6" borderId="22" xfId="0" applyNumberFormat="1" applyFont="1" applyFill="1" applyBorder="1" applyAlignment="1">
      <alignment horizontal="center" vertical="center"/>
    </xf>
    <xf numFmtId="14" fontId="32" fillId="6" borderId="52" xfId="0" applyNumberFormat="1" applyFont="1" applyFill="1" applyBorder="1" applyAlignment="1">
      <alignment horizontal="center" vertical="center"/>
    </xf>
    <xf numFmtId="14" fontId="32" fillId="6" borderId="53" xfId="0" applyNumberFormat="1" applyFont="1" applyFill="1" applyBorder="1" applyAlignment="1">
      <alignment horizontal="center" vertical="center"/>
    </xf>
    <xf numFmtId="14" fontId="33" fillId="6" borderId="58" xfId="0" applyNumberFormat="1" applyFont="1" applyFill="1" applyBorder="1" applyAlignment="1">
      <alignment horizontal="center" vertical="center"/>
    </xf>
    <xf numFmtId="14" fontId="33" fillId="6" borderId="21" xfId="0" applyNumberFormat="1" applyFont="1" applyFill="1" applyBorder="1" applyAlignment="1">
      <alignment horizontal="center" vertical="center"/>
    </xf>
    <xf numFmtId="0" fontId="33" fillId="6" borderId="19" xfId="0" applyFont="1" applyFill="1" applyBorder="1" applyAlignment="1">
      <alignment horizontal="center" vertical="center"/>
    </xf>
    <xf numFmtId="0" fontId="33" fillId="6" borderId="20" xfId="0" applyFont="1" applyFill="1" applyBorder="1" applyAlignment="1">
      <alignment horizontal="center" vertical="center"/>
    </xf>
    <xf numFmtId="0" fontId="22" fillId="5" borderId="0"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0" xfId="0" applyFont="1" applyFill="1" applyBorder="1" applyAlignment="1">
      <alignment horizontal="center"/>
    </xf>
    <xf numFmtId="0" fontId="14" fillId="3" borderId="0" xfId="0" applyFont="1" applyFill="1" applyBorder="1" applyAlignment="1">
      <alignment horizontal="left" vertical="center" wrapText="1"/>
    </xf>
    <xf numFmtId="14" fontId="32" fillId="6" borderId="51" xfId="0" applyNumberFormat="1" applyFont="1" applyFill="1" applyBorder="1" applyAlignment="1">
      <alignment horizontal="center" vertical="center"/>
    </xf>
    <xf numFmtId="0" fontId="23" fillId="4" borderId="16" xfId="0" applyFont="1" applyFill="1" applyBorder="1" applyAlignment="1">
      <alignment horizontal="center" vertical="center" wrapText="1"/>
    </xf>
    <xf numFmtId="0" fontId="23" fillId="4" borderId="23" xfId="0" applyFont="1" applyFill="1" applyBorder="1" applyAlignment="1">
      <alignment horizontal="center" vertical="center" wrapText="1"/>
    </xf>
    <xf numFmtId="0" fontId="23" fillId="4" borderId="17" xfId="0" applyFont="1" applyFill="1" applyBorder="1" applyAlignment="1">
      <alignment horizontal="center" vertical="center" wrapText="1"/>
    </xf>
    <xf numFmtId="0" fontId="23" fillId="4" borderId="19" xfId="0" applyFont="1" applyFill="1" applyBorder="1" applyAlignment="1">
      <alignment horizontal="center" vertical="center" wrapText="1"/>
    </xf>
    <xf numFmtId="0" fontId="23" fillId="4" borderId="0" xfId="0" applyFont="1" applyFill="1" applyBorder="1" applyAlignment="1">
      <alignment horizontal="center" vertical="center" wrapText="1"/>
    </xf>
    <xf numFmtId="0" fontId="23" fillId="4" borderId="20" xfId="0" applyFont="1" applyFill="1" applyBorder="1" applyAlignment="1">
      <alignment horizontal="center" vertical="center" wrapText="1"/>
    </xf>
    <xf numFmtId="0" fontId="23" fillId="4" borderId="19" xfId="0" applyFont="1" applyFill="1" applyBorder="1" applyAlignment="1">
      <alignment horizontal="center" vertical="center"/>
    </xf>
    <xf numFmtId="0" fontId="23" fillId="4" borderId="0" xfId="0" applyFont="1" applyFill="1" applyBorder="1" applyAlignment="1">
      <alignment horizontal="center" vertical="center"/>
    </xf>
    <xf numFmtId="0" fontId="23" fillId="4" borderId="20" xfId="0" applyFont="1" applyFill="1" applyBorder="1" applyAlignment="1">
      <alignment horizontal="center" vertical="center"/>
    </xf>
    <xf numFmtId="0" fontId="14" fillId="4" borderId="7" xfId="0" applyFont="1" applyFill="1" applyBorder="1" applyAlignment="1">
      <alignment horizontal="center"/>
    </xf>
    <xf numFmtId="0" fontId="14" fillId="4" borderId="8" xfId="0" applyFont="1" applyFill="1" applyBorder="1" applyAlignment="1">
      <alignment horizontal="center"/>
    </xf>
    <xf numFmtId="0" fontId="23" fillId="4" borderId="51" xfId="0" applyFont="1" applyFill="1" applyBorder="1" applyAlignment="1">
      <alignment horizontal="center"/>
    </xf>
    <xf numFmtId="0" fontId="23" fillId="4" borderId="52" xfId="0" applyFont="1" applyFill="1" applyBorder="1" applyAlignment="1">
      <alignment horizontal="center"/>
    </xf>
    <xf numFmtId="0" fontId="23" fillId="4" borderId="53" xfId="0" applyFont="1" applyFill="1" applyBorder="1" applyAlignment="1">
      <alignment horizontal="center"/>
    </xf>
    <xf numFmtId="0" fontId="23" fillId="4" borderId="21" xfId="0" applyFont="1" applyFill="1" applyBorder="1" applyAlignment="1">
      <alignment horizontal="center"/>
    </xf>
    <xf numFmtId="0" fontId="23" fillId="4" borderId="24" xfId="0" applyFont="1" applyFill="1" applyBorder="1" applyAlignment="1">
      <alignment horizontal="center"/>
    </xf>
    <xf numFmtId="0" fontId="23" fillId="4" borderId="22" xfId="0" applyFont="1" applyFill="1" applyBorder="1" applyAlignment="1">
      <alignment horizontal="center"/>
    </xf>
    <xf numFmtId="0" fontId="14" fillId="4" borderId="7" xfId="0" applyFont="1" applyFill="1" applyBorder="1" applyAlignment="1">
      <alignment horizontal="center" vertical="center"/>
    </xf>
    <xf numFmtId="0" fontId="14" fillId="4" borderId="8" xfId="0" applyFont="1" applyFill="1" applyBorder="1" applyAlignment="1">
      <alignment horizontal="center" vertical="center"/>
    </xf>
    <xf numFmtId="0" fontId="14" fillId="4" borderId="4" xfId="0" applyFont="1" applyFill="1" applyBorder="1" applyAlignment="1">
      <alignment horizontal="center" vertical="center"/>
    </xf>
    <xf numFmtId="0" fontId="14" fillId="4" borderId="6" xfId="0" applyFont="1" applyFill="1" applyBorder="1" applyAlignment="1">
      <alignment horizontal="center" vertical="center"/>
    </xf>
    <xf numFmtId="14" fontId="33" fillId="6" borderId="64" xfId="0" applyNumberFormat="1" applyFont="1" applyFill="1" applyBorder="1" applyAlignment="1">
      <alignment horizontal="center" vertical="center"/>
    </xf>
    <xf numFmtId="14" fontId="33" fillId="6" borderId="60" xfId="0" applyNumberFormat="1" applyFont="1" applyFill="1" applyBorder="1" applyAlignment="1">
      <alignment horizontal="center" vertical="center"/>
    </xf>
    <xf numFmtId="0" fontId="33" fillId="6" borderId="65" xfId="0" applyFont="1" applyFill="1" applyBorder="1" applyAlignment="1">
      <alignment horizontal="center" vertical="center"/>
    </xf>
    <xf numFmtId="0" fontId="33" fillId="6" borderId="67" xfId="0" applyFont="1" applyFill="1" applyBorder="1" applyAlignment="1">
      <alignment horizontal="center" vertical="center"/>
    </xf>
    <xf numFmtId="14" fontId="32" fillId="6" borderId="19" xfId="0" applyNumberFormat="1" applyFont="1" applyFill="1" applyBorder="1" applyAlignment="1">
      <alignment horizontal="center" vertical="center"/>
    </xf>
    <xf numFmtId="14" fontId="32" fillId="6" borderId="0" xfId="0" applyNumberFormat="1" applyFont="1" applyFill="1" applyBorder="1" applyAlignment="1">
      <alignment horizontal="center" vertical="center"/>
    </xf>
    <xf numFmtId="14" fontId="32" fillId="6" borderId="21" xfId="0" applyNumberFormat="1" applyFont="1" applyFill="1" applyBorder="1" applyAlignment="1">
      <alignment horizontal="center" vertical="center"/>
    </xf>
    <xf numFmtId="14" fontId="32" fillId="6" borderId="24" xfId="0" applyNumberFormat="1" applyFont="1" applyFill="1" applyBorder="1" applyAlignment="1">
      <alignment horizontal="center" vertical="center"/>
    </xf>
    <xf numFmtId="0" fontId="23" fillId="4" borderId="16" xfId="0" applyFont="1" applyFill="1" applyBorder="1" applyAlignment="1" applyProtection="1">
      <alignment horizontal="center" vertical="center"/>
      <protection locked="0"/>
    </xf>
    <xf numFmtId="0" fontId="23" fillId="4" borderId="23" xfId="0" applyFont="1" applyFill="1" applyBorder="1" applyAlignment="1" applyProtection="1">
      <alignment horizontal="center" vertical="center"/>
      <protection locked="0"/>
    </xf>
    <xf numFmtId="0" fontId="23" fillId="4" borderId="17" xfId="0" applyFont="1" applyFill="1" applyBorder="1" applyAlignment="1" applyProtection="1">
      <alignment horizontal="center" vertical="center"/>
      <protection locked="0"/>
    </xf>
    <xf numFmtId="0" fontId="23" fillId="4" borderId="19" xfId="0" applyFont="1" applyFill="1" applyBorder="1" applyAlignment="1" applyProtection="1">
      <alignment horizontal="center" vertical="center"/>
      <protection locked="0"/>
    </xf>
    <xf numFmtId="0" fontId="23" fillId="4" borderId="0" xfId="0" applyFont="1" applyFill="1" applyBorder="1" applyAlignment="1" applyProtection="1">
      <alignment horizontal="center" vertical="center"/>
      <protection locked="0"/>
    </xf>
    <xf numFmtId="0" fontId="23" fillId="4" borderId="20" xfId="0" applyFont="1" applyFill="1" applyBorder="1" applyAlignment="1" applyProtection="1">
      <alignment horizontal="center" vertical="center"/>
      <protection locked="0"/>
    </xf>
    <xf numFmtId="14" fontId="14" fillId="3" borderId="0" xfId="0" applyNumberFormat="1" applyFont="1" applyFill="1" applyBorder="1" applyAlignment="1">
      <alignment horizontal="center"/>
    </xf>
    <xf numFmtId="14" fontId="32" fillId="8" borderId="51" xfId="0" applyNumberFormat="1" applyFont="1" applyFill="1" applyBorder="1" applyAlignment="1">
      <alignment horizontal="center" vertical="center"/>
    </xf>
    <xf numFmtId="14" fontId="32" fillId="8" borderId="52" xfId="0" applyNumberFormat="1" applyFont="1" applyFill="1" applyBorder="1" applyAlignment="1">
      <alignment horizontal="center" vertical="center"/>
    </xf>
    <xf numFmtId="14" fontId="14" fillId="3" borderId="0" xfId="0" applyNumberFormat="1" applyFont="1" applyFill="1" applyBorder="1" applyAlignment="1">
      <alignment horizontal="left" vertical="top" wrapText="1"/>
    </xf>
    <xf numFmtId="0" fontId="23" fillId="4" borderId="51" xfId="0" applyFont="1" applyFill="1" applyBorder="1" applyAlignment="1">
      <alignment horizontal="center" vertical="center" wrapText="1"/>
    </xf>
    <xf numFmtId="0" fontId="23" fillId="4" borderId="52" xfId="0" applyFont="1" applyFill="1" applyBorder="1" applyAlignment="1">
      <alignment horizontal="center" vertical="center" wrapText="1"/>
    </xf>
    <xf numFmtId="0" fontId="23" fillId="4" borderId="53" xfId="0" applyFont="1" applyFill="1" applyBorder="1" applyAlignment="1">
      <alignment horizontal="center" vertical="center" wrapText="1"/>
    </xf>
    <xf numFmtId="0" fontId="14" fillId="0" borderId="16" xfId="0" applyFont="1" applyBorder="1" applyAlignment="1">
      <alignment horizontal="left" vertical="center" wrapText="1"/>
    </xf>
    <xf numFmtId="0" fontId="14" fillId="0" borderId="23" xfId="0" applyFont="1" applyBorder="1" applyAlignment="1">
      <alignment horizontal="left" vertical="center" wrapText="1"/>
    </xf>
    <xf numFmtId="0" fontId="14" fillId="0" borderId="17" xfId="0" applyFont="1" applyBorder="1" applyAlignment="1">
      <alignment horizontal="left" vertical="center" wrapText="1"/>
    </xf>
    <xf numFmtId="0" fontId="14" fillId="0" borderId="21" xfId="0" applyFont="1" applyBorder="1" applyAlignment="1">
      <alignment horizontal="left" vertical="center" wrapText="1"/>
    </xf>
    <xf numFmtId="0" fontId="14" fillId="0" borderId="24" xfId="0" applyFont="1" applyBorder="1" applyAlignment="1">
      <alignment horizontal="left" vertical="center" wrapText="1"/>
    </xf>
    <xf numFmtId="0" fontId="14" fillId="0" borderId="22" xfId="0" applyFont="1" applyBorder="1" applyAlignment="1">
      <alignment horizontal="left" vertical="center" wrapText="1"/>
    </xf>
    <xf numFmtId="3" fontId="14" fillId="3" borderId="13" xfId="0" applyNumberFormat="1" applyFont="1" applyFill="1" applyBorder="1" applyAlignment="1">
      <alignment horizontal="center" vertical="center"/>
    </xf>
    <xf numFmtId="3" fontId="14" fillId="3" borderId="15" xfId="0" applyNumberFormat="1" applyFont="1" applyFill="1" applyBorder="1" applyAlignment="1">
      <alignment horizontal="center" vertical="center"/>
    </xf>
    <xf numFmtId="3" fontId="14" fillId="3" borderId="56" xfId="0" applyNumberFormat="1" applyFont="1" applyFill="1" applyBorder="1" applyAlignment="1">
      <alignment horizontal="center" vertical="center"/>
    </xf>
    <xf numFmtId="3" fontId="14" fillId="3" borderId="36" xfId="0" applyNumberFormat="1" applyFont="1" applyFill="1" applyBorder="1" applyAlignment="1">
      <alignment horizontal="center" vertical="center"/>
    </xf>
    <xf numFmtId="0" fontId="14" fillId="0" borderId="65" xfId="0" applyFont="1" applyBorder="1" applyAlignment="1">
      <alignment horizontal="center" vertical="center" wrapText="1"/>
    </xf>
    <xf numFmtId="0" fontId="14" fillId="0" borderId="66" xfId="0" applyFont="1" applyBorder="1" applyAlignment="1">
      <alignment horizontal="center" vertical="center" wrapText="1"/>
    </xf>
    <xf numFmtId="0" fontId="14" fillId="0" borderId="57" xfId="0" applyFont="1" applyBorder="1" applyAlignment="1">
      <alignment horizontal="center" vertical="center" wrapText="1"/>
    </xf>
    <xf numFmtId="0" fontId="14" fillId="0" borderId="0" xfId="0" applyFont="1" applyAlignment="1">
      <alignment horizontal="left" vertical="top" wrapText="1"/>
    </xf>
    <xf numFmtId="14" fontId="23" fillId="4" borderId="21" xfId="0" applyNumberFormat="1" applyFont="1" applyFill="1" applyBorder="1" applyAlignment="1">
      <alignment horizontal="center" vertical="center"/>
    </xf>
    <xf numFmtId="14" fontId="23" fillId="4" borderId="24" xfId="0" applyNumberFormat="1" applyFont="1" applyFill="1" applyBorder="1" applyAlignment="1">
      <alignment horizontal="center" vertical="center"/>
    </xf>
    <xf numFmtId="14" fontId="23" fillId="4" borderId="22" xfId="0" applyNumberFormat="1" applyFont="1" applyFill="1" applyBorder="1" applyAlignment="1">
      <alignment horizontal="center" vertical="center"/>
    </xf>
    <xf numFmtId="14" fontId="14" fillId="3" borderId="0" xfId="0" applyNumberFormat="1" applyFont="1" applyFill="1" applyBorder="1" applyAlignment="1">
      <alignment horizontal="left" vertical="center" wrapText="1"/>
    </xf>
    <xf numFmtId="14" fontId="13" fillId="3" borderId="0" xfId="0" applyNumberFormat="1" applyFont="1" applyFill="1" applyBorder="1" applyAlignment="1">
      <alignment horizontal="center" vertical="center" wrapText="1"/>
    </xf>
    <xf numFmtId="14" fontId="13" fillId="4" borderId="22" xfId="0" applyNumberFormat="1" applyFont="1" applyFill="1" applyBorder="1" applyAlignment="1">
      <alignment horizontal="center" vertical="center" wrapText="1"/>
    </xf>
    <xf numFmtId="0" fontId="14" fillId="4" borderId="9" xfId="0" applyFont="1" applyFill="1" applyBorder="1" applyAlignment="1">
      <alignment horizontal="center" vertical="center"/>
    </xf>
    <xf numFmtId="0" fontId="14" fillId="4" borderId="11" xfId="0" applyFont="1" applyFill="1" applyBorder="1" applyAlignment="1">
      <alignment horizontal="center" vertical="center"/>
    </xf>
    <xf numFmtId="0" fontId="33" fillId="6" borderId="51" xfId="0" applyFont="1" applyFill="1" applyBorder="1" applyAlignment="1">
      <alignment horizontal="center" vertical="center"/>
    </xf>
    <xf numFmtId="0" fontId="33" fillId="6" borderId="53" xfId="0" applyFont="1" applyFill="1" applyBorder="1" applyAlignment="1">
      <alignment horizontal="center" vertical="center"/>
    </xf>
    <xf numFmtId="0" fontId="14" fillId="4" borderId="13"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4" fillId="4" borderId="21" xfId="0" applyFont="1" applyFill="1" applyBorder="1" applyAlignment="1">
      <alignment horizontal="center"/>
    </xf>
    <xf numFmtId="0" fontId="14" fillId="4" borderId="22" xfId="0" applyFont="1" applyFill="1" applyBorder="1" applyAlignment="1">
      <alignment horizontal="center"/>
    </xf>
    <xf numFmtId="3" fontId="14" fillId="3" borderId="56" xfId="0" applyNumberFormat="1" applyFont="1" applyFill="1" applyBorder="1" applyAlignment="1">
      <alignment horizontal="center"/>
    </xf>
    <xf numFmtId="3" fontId="14" fillId="3" borderId="36" xfId="0" applyNumberFormat="1" applyFont="1" applyFill="1" applyBorder="1" applyAlignment="1">
      <alignment horizontal="center"/>
    </xf>
    <xf numFmtId="4" fontId="78" fillId="0" borderId="39" xfId="0" applyNumberFormat="1" applyFont="1" applyBorder="1" applyAlignment="1" applyProtection="1">
      <alignment horizontal="center"/>
    </xf>
    <xf numFmtId="4" fontId="78" fillId="0" borderId="37" xfId="0" applyNumberFormat="1" applyFont="1" applyBorder="1" applyAlignment="1" applyProtection="1">
      <alignment horizontal="center"/>
    </xf>
    <xf numFmtId="4" fontId="78" fillId="0" borderId="10" xfId="0" applyNumberFormat="1" applyFont="1" applyBorder="1" applyAlignment="1" applyProtection="1">
      <alignment horizontal="center"/>
    </xf>
    <xf numFmtId="4" fontId="78" fillId="0" borderId="11" xfId="0" applyNumberFormat="1" applyFont="1" applyBorder="1" applyAlignment="1" applyProtection="1">
      <alignment horizontal="center"/>
    </xf>
    <xf numFmtId="0" fontId="14" fillId="4" borderId="56" xfId="0" applyFont="1" applyFill="1" applyBorder="1" applyAlignment="1">
      <alignment horizontal="center" vertical="center" wrapText="1"/>
    </xf>
    <xf numFmtId="0" fontId="14" fillId="4" borderId="36" xfId="0" applyFont="1" applyFill="1" applyBorder="1" applyAlignment="1">
      <alignment horizontal="center" vertical="center" wrapText="1"/>
    </xf>
    <xf numFmtId="0" fontId="14" fillId="4" borderId="71"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4" fillId="4" borderId="40" xfId="0" applyFont="1" applyFill="1" applyBorder="1" applyAlignment="1">
      <alignment horizontal="center" vertical="center" wrapText="1"/>
    </xf>
    <xf numFmtId="0" fontId="14" fillId="4" borderId="45" xfId="0" applyFont="1" applyFill="1" applyBorder="1" applyAlignment="1">
      <alignment horizontal="center" vertical="center" wrapText="1"/>
    </xf>
    <xf numFmtId="10" fontId="14" fillId="4" borderId="35" xfId="0" applyNumberFormat="1" applyFont="1" applyFill="1" applyBorder="1" applyAlignment="1">
      <alignment horizontal="center" vertical="center" wrapText="1"/>
    </xf>
    <xf numFmtId="10" fontId="14" fillId="4" borderId="36" xfId="0" applyNumberFormat="1" applyFont="1" applyFill="1" applyBorder="1" applyAlignment="1">
      <alignment horizontal="center" vertical="center" wrapText="1"/>
    </xf>
    <xf numFmtId="0" fontId="14" fillId="4" borderId="35"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78" fillId="4" borderId="9" xfId="0" applyFont="1" applyFill="1" applyBorder="1" applyAlignment="1">
      <alignment horizontal="center" vertical="center" wrapText="1"/>
    </xf>
    <xf numFmtId="0" fontId="78" fillId="4" borderId="10" xfId="0" applyFont="1" applyFill="1" applyBorder="1" applyAlignment="1">
      <alignment horizontal="center" vertical="center" wrapText="1"/>
    </xf>
    <xf numFmtId="0" fontId="78" fillId="4" borderId="11" xfId="0" applyFont="1" applyFill="1" applyBorder="1" applyAlignment="1">
      <alignment horizontal="center" vertical="center" wrapText="1"/>
    </xf>
    <xf numFmtId="0" fontId="78" fillId="4" borderId="4" xfId="0" applyFont="1" applyFill="1" applyBorder="1" applyAlignment="1">
      <alignment horizontal="center" vertical="center" wrapText="1"/>
    </xf>
    <xf numFmtId="0" fontId="78" fillId="4" borderId="5" xfId="0" applyFont="1" applyFill="1" applyBorder="1" applyAlignment="1">
      <alignment horizontal="center" vertical="center" wrapText="1"/>
    </xf>
    <xf numFmtId="0" fontId="78" fillId="4" borderId="6" xfId="0" applyFont="1" applyFill="1" applyBorder="1" applyAlignment="1">
      <alignment horizontal="center" vertical="center" wrapText="1"/>
    </xf>
    <xf numFmtId="0" fontId="78" fillId="4" borderId="7" xfId="0" applyFont="1" applyFill="1" applyBorder="1" applyAlignment="1">
      <alignment horizontal="center" vertical="center" wrapText="1"/>
    </xf>
    <xf numFmtId="0" fontId="78" fillId="4" borderId="1" xfId="0" applyFont="1" applyFill="1" applyBorder="1" applyAlignment="1">
      <alignment horizontal="center" vertical="center" wrapText="1"/>
    </xf>
    <xf numFmtId="0" fontId="78" fillId="4" borderId="8" xfId="0" applyFont="1" applyFill="1" applyBorder="1" applyAlignment="1">
      <alignment horizontal="center" vertical="center" wrapText="1"/>
    </xf>
    <xf numFmtId="0" fontId="78" fillId="4" borderId="75" xfId="0" applyFont="1" applyFill="1" applyBorder="1" applyAlignment="1">
      <alignment horizontal="center" vertical="center" wrapText="1"/>
    </xf>
    <xf numFmtId="0" fontId="78" fillId="4" borderId="76" xfId="0" applyFont="1" applyFill="1" applyBorder="1" applyAlignment="1">
      <alignment horizontal="center" vertical="center" wrapText="1"/>
    </xf>
    <xf numFmtId="4" fontId="14" fillId="0" borderId="39" xfId="0" applyNumberFormat="1" applyFont="1" applyBorder="1" applyAlignment="1">
      <alignment horizontal="center"/>
    </xf>
    <xf numFmtId="4" fontId="14" fillId="0" borderId="1" xfId="0" applyNumberFormat="1" applyFont="1" applyBorder="1" applyAlignment="1">
      <alignment horizontal="center"/>
    </xf>
    <xf numFmtId="4" fontId="14" fillId="0" borderId="10" xfId="0" applyNumberFormat="1" applyFont="1" applyBorder="1" applyAlignment="1">
      <alignment horizontal="center"/>
    </xf>
    <xf numFmtId="0" fontId="32" fillId="8" borderId="5" xfId="0" applyFont="1" applyFill="1" applyBorder="1" applyAlignment="1">
      <alignment horizontal="center" vertical="center" wrapText="1"/>
    </xf>
    <xf numFmtId="0" fontId="32" fillId="8" borderId="1" xfId="0" applyFont="1" applyFill="1" applyBorder="1" applyAlignment="1">
      <alignment horizontal="center" vertical="center" wrapText="1"/>
    </xf>
    <xf numFmtId="4" fontId="14" fillId="0" borderId="21" xfId="0" applyNumberFormat="1" applyFont="1" applyBorder="1" applyAlignment="1">
      <alignment horizontal="center"/>
    </xf>
    <xf numFmtId="4" fontId="14" fillId="0" borderId="32" xfId="0" applyNumberFormat="1" applyFont="1" applyBorder="1" applyAlignment="1">
      <alignment horizontal="center"/>
    </xf>
    <xf numFmtId="4" fontId="14" fillId="0" borderId="78" xfId="0" applyNumberFormat="1" applyFont="1" applyBorder="1" applyAlignment="1">
      <alignment horizontal="center"/>
    </xf>
    <xf numFmtId="0" fontId="14" fillId="4" borderId="26"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73" fillId="11" borderId="51" xfId="0" applyFont="1" applyFill="1" applyBorder="1" applyAlignment="1" applyProtection="1">
      <alignment horizontal="center" vertical="top" wrapText="1"/>
    </xf>
    <xf numFmtId="0" fontId="73" fillId="11" borderId="52" xfId="0" applyFont="1" applyFill="1" applyBorder="1" applyAlignment="1" applyProtection="1">
      <alignment horizontal="center" vertical="top" wrapText="1"/>
    </xf>
    <xf numFmtId="0" fontId="73" fillId="11" borderId="53" xfId="0" applyFont="1" applyFill="1" applyBorder="1" applyAlignment="1" applyProtection="1">
      <alignment horizontal="center" vertical="top" wrapText="1"/>
    </xf>
    <xf numFmtId="0" fontId="10" fillId="4" borderId="4" xfId="0" applyFont="1" applyFill="1" applyBorder="1" applyAlignment="1">
      <alignment horizontal="center" vertical="center"/>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6" fillId="4" borderId="9" xfId="0" applyFont="1" applyFill="1" applyBorder="1" applyAlignment="1">
      <alignment horizontal="center" vertical="center" wrapText="1"/>
    </xf>
    <xf numFmtId="0" fontId="16" fillId="4" borderId="10"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78" fillId="3" borderId="0" xfId="0" applyFont="1" applyFill="1" applyBorder="1" applyAlignment="1">
      <alignment horizontal="left" vertical="center" wrapText="1"/>
    </xf>
    <xf numFmtId="0" fontId="15" fillId="4" borderId="51" xfId="0" applyFont="1" applyFill="1" applyBorder="1" applyAlignment="1">
      <alignment horizontal="center" vertical="center"/>
    </xf>
    <xf numFmtId="0" fontId="15" fillId="4" borderId="52" xfId="0" applyFont="1" applyFill="1" applyBorder="1" applyAlignment="1">
      <alignment horizontal="center" vertical="center"/>
    </xf>
    <xf numFmtId="0" fontId="15" fillId="4" borderId="53" xfId="0" applyFont="1" applyFill="1" applyBorder="1" applyAlignment="1">
      <alignment horizontal="center" vertical="center"/>
    </xf>
    <xf numFmtId="0" fontId="10" fillId="4" borderId="19"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4" borderId="20"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10" fillId="4" borderId="24" xfId="0" applyFont="1" applyFill="1" applyBorder="1" applyAlignment="1">
      <alignment horizontal="center" vertical="center" wrapText="1"/>
    </xf>
    <xf numFmtId="0" fontId="10" fillId="4" borderId="22" xfId="0" applyFont="1" applyFill="1" applyBorder="1" applyAlignment="1">
      <alignment horizontal="center" vertical="center" wrapText="1"/>
    </xf>
    <xf numFmtId="4" fontId="14" fillId="0" borderId="39" xfId="0" applyNumberFormat="1" applyFont="1" applyBorder="1" applyAlignment="1">
      <alignment horizontal="center" vertical="center"/>
    </xf>
    <xf numFmtId="4" fontId="14" fillId="0" borderId="37" xfId="0" applyNumberFormat="1" applyFont="1" applyBorder="1" applyAlignment="1">
      <alignment horizontal="center" vertical="center"/>
    </xf>
    <xf numFmtId="4" fontId="14" fillId="0" borderId="1" xfId="0" applyNumberFormat="1" applyFont="1" applyBorder="1" applyAlignment="1">
      <alignment horizontal="center" vertical="center"/>
    </xf>
    <xf numFmtId="4" fontId="14" fillId="0" borderId="8" xfId="0" applyNumberFormat="1" applyFont="1" applyBorder="1" applyAlignment="1">
      <alignment horizontal="center" vertical="center"/>
    </xf>
    <xf numFmtId="4" fontId="14" fillId="0" borderId="10" xfId="0" applyNumberFormat="1" applyFont="1" applyBorder="1" applyAlignment="1">
      <alignment horizontal="center" vertical="center"/>
    </xf>
    <xf numFmtId="4" fontId="14" fillId="0" borderId="11" xfId="0" applyNumberFormat="1" applyFont="1" applyBorder="1" applyAlignment="1">
      <alignment horizontal="center" vertical="center"/>
    </xf>
    <xf numFmtId="4" fontId="14" fillId="0" borderId="77" xfId="0" applyNumberFormat="1" applyFont="1" applyBorder="1" applyAlignment="1">
      <alignment horizontal="center"/>
    </xf>
    <xf numFmtId="4" fontId="14" fillId="0" borderId="55" xfId="0" applyNumberFormat="1" applyFont="1" applyBorder="1" applyAlignment="1">
      <alignment horizontal="center"/>
    </xf>
    <xf numFmtId="4" fontId="78" fillId="0" borderId="31" xfId="0" applyNumberFormat="1" applyFont="1" applyBorder="1" applyAlignment="1">
      <alignment horizontal="center"/>
    </xf>
    <xf numFmtId="4" fontId="78" fillId="0" borderId="77" xfId="0" applyNumberFormat="1" applyFont="1" applyBorder="1" applyAlignment="1">
      <alignment horizontal="center"/>
    </xf>
    <xf numFmtId="4" fontId="78" fillId="0" borderId="55" xfId="0" applyNumberFormat="1" applyFont="1" applyBorder="1" applyAlignment="1">
      <alignment horizontal="center"/>
    </xf>
    <xf numFmtId="0" fontId="14" fillId="4" borderId="59" xfId="0" applyFont="1" applyFill="1" applyBorder="1" applyAlignment="1">
      <alignment horizontal="center" vertical="center" wrapText="1"/>
    </xf>
    <xf numFmtId="0" fontId="14" fillId="4" borderId="60"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9" xfId="0" applyFont="1" applyFill="1" applyBorder="1" applyAlignment="1">
      <alignment horizontal="center" vertical="center" wrapText="1"/>
    </xf>
    <xf numFmtId="14" fontId="33" fillId="6" borderId="56" xfId="0" applyNumberFormat="1" applyFont="1" applyFill="1" applyBorder="1" applyAlignment="1">
      <alignment horizontal="center" vertical="center" wrapText="1"/>
    </xf>
    <xf numFmtId="14" fontId="33" fillId="6" borderId="18" xfId="0" applyNumberFormat="1" applyFont="1" applyFill="1" applyBorder="1" applyAlignment="1">
      <alignment horizontal="center" vertical="center" wrapText="1"/>
    </xf>
    <xf numFmtId="49" fontId="13" fillId="4" borderId="35" xfId="0" applyNumberFormat="1" applyFont="1" applyFill="1" applyBorder="1" applyAlignment="1">
      <alignment horizontal="center" vertical="center" wrapText="1"/>
    </xf>
    <xf numFmtId="49" fontId="13" fillId="4" borderId="18" xfId="0" applyNumberFormat="1" applyFont="1" applyFill="1" applyBorder="1" applyAlignment="1">
      <alignment horizontal="center" vertical="center" wrapText="1"/>
    </xf>
    <xf numFmtId="4" fontId="78" fillId="0" borderId="3" xfId="0" applyNumberFormat="1" applyFont="1" applyBorder="1" applyAlignment="1">
      <alignment horizontal="center"/>
    </xf>
    <xf numFmtId="4" fontId="78" fillId="0" borderId="12" xfId="0" applyNumberFormat="1" applyFont="1" applyBorder="1" applyAlignment="1">
      <alignment horizontal="center"/>
    </xf>
    <xf numFmtId="0" fontId="32" fillId="8" borderId="72" xfId="0" applyFont="1" applyFill="1" applyBorder="1" applyAlignment="1">
      <alignment horizontal="center" vertical="center" wrapText="1"/>
    </xf>
    <xf numFmtId="0" fontId="32" fillId="8" borderId="33" xfId="0" applyFont="1" applyFill="1" applyBorder="1" applyAlignment="1">
      <alignment horizontal="center" vertical="center" wrapText="1"/>
    </xf>
    <xf numFmtId="0" fontId="32" fillId="8" borderId="63" xfId="0" applyFont="1" applyFill="1" applyBorder="1" applyAlignment="1">
      <alignment horizontal="center" vertical="center" wrapText="1"/>
    </xf>
    <xf numFmtId="0" fontId="32" fillId="8" borderId="39" xfId="0" applyFont="1" applyFill="1" applyBorder="1" applyAlignment="1">
      <alignment horizontal="center" vertical="center" wrapText="1"/>
    </xf>
    <xf numFmtId="0" fontId="32" fillId="8" borderId="59" xfId="0" applyFont="1" applyFill="1" applyBorder="1" applyAlignment="1">
      <alignment horizontal="center" vertical="center" wrapText="1"/>
    </xf>
    <xf numFmtId="0" fontId="32" fillId="8" borderId="37" xfId="0" applyFont="1" applyFill="1" applyBorder="1" applyAlignment="1">
      <alignment horizontal="center" vertical="center" wrapText="1"/>
    </xf>
    <xf numFmtId="0" fontId="14" fillId="4" borderId="44" xfId="0" applyFont="1" applyFill="1" applyBorder="1" applyAlignment="1">
      <alignment horizontal="center" vertical="center"/>
    </xf>
    <xf numFmtId="0" fontId="14" fillId="4" borderId="47" xfId="0" applyFont="1" applyFill="1" applyBorder="1" applyAlignment="1">
      <alignment horizontal="center" vertical="center"/>
    </xf>
    <xf numFmtId="0" fontId="14" fillId="4" borderId="27" xfId="0" applyFont="1" applyFill="1" applyBorder="1" applyAlignment="1">
      <alignment horizontal="center" vertical="center"/>
    </xf>
    <xf numFmtId="0" fontId="14" fillId="4" borderId="56" xfId="0" applyFont="1" applyFill="1" applyBorder="1" applyAlignment="1">
      <alignment horizontal="center" vertical="center"/>
    </xf>
    <xf numFmtId="0" fontId="14" fillId="4" borderId="48" xfId="0" applyFont="1" applyFill="1" applyBorder="1" applyAlignment="1">
      <alignment horizontal="center" vertical="center"/>
    </xf>
    <xf numFmtId="0" fontId="14" fillId="4" borderId="36" xfId="0" applyFont="1" applyFill="1" applyBorder="1" applyAlignment="1">
      <alignment horizontal="center" vertical="center"/>
    </xf>
    <xf numFmtId="0" fontId="14" fillId="4" borderId="16" xfId="0" applyFont="1" applyFill="1" applyBorder="1" applyAlignment="1">
      <alignment horizontal="center" vertical="center" wrapText="1"/>
    </xf>
    <xf numFmtId="0" fontId="14" fillId="4" borderId="23" xfId="0" applyFont="1" applyFill="1" applyBorder="1" applyAlignment="1">
      <alignment horizontal="center" vertical="center" wrapText="1"/>
    </xf>
    <xf numFmtId="0" fontId="14" fillId="4" borderId="19"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14" fillId="4" borderId="20" xfId="0" applyFont="1" applyFill="1" applyBorder="1" applyAlignment="1">
      <alignment horizontal="center" vertical="center" wrapText="1"/>
    </xf>
    <xf numFmtId="0" fontId="14" fillId="4" borderId="21" xfId="0" applyFont="1" applyFill="1" applyBorder="1" applyAlignment="1">
      <alignment horizontal="center" vertical="center" wrapText="1"/>
    </xf>
    <xf numFmtId="0" fontId="14" fillId="4" borderId="24"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4" fillId="4" borderId="13" xfId="0" applyFont="1" applyFill="1" applyBorder="1" applyAlignment="1">
      <alignment horizontal="center" vertical="center"/>
    </xf>
    <xf numFmtId="0" fontId="14" fillId="4" borderId="14" xfId="0" applyFont="1" applyFill="1" applyBorder="1" applyAlignment="1">
      <alignment horizontal="center" vertical="center"/>
    </xf>
    <xf numFmtId="0" fontId="14" fillId="4" borderId="15" xfId="0" applyFont="1" applyFill="1" applyBorder="1" applyAlignment="1">
      <alignment horizontal="center" vertical="center"/>
    </xf>
    <xf numFmtId="4" fontId="78" fillId="0" borderId="18" xfId="0" applyNumberFormat="1" applyFont="1" applyBorder="1" applyAlignment="1">
      <alignment horizontal="center"/>
    </xf>
    <xf numFmtId="4" fontId="78" fillId="0" borderId="11" xfId="0" applyNumberFormat="1" applyFont="1" applyBorder="1" applyAlignment="1">
      <alignment horizontal="center"/>
    </xf>
    <xf numFmtId="0" fontId="14" fillId="4" borderId="38" xfId="0" applyFont="1" applyFill="1" applyBorder="1" applyAlignment="1">
      <alignment horizontal="center" vertical="center"/>
    </xf>
    <xf numFmtId="0" fontId="14" fillId="4" borderId="37" xfId="0" applyFont="1" applyFill="1" applyBorder="1" applyAlignment="1">
      <alignment horizontal="center" vertical="center"/>
    </xf>
    <xf numFmtId="4" fontId="78" fillId="3" borderId="48" xfId="0" applyNumberFormat="1" applyFont="1" applyFill="1" applyBorder="1" applyAlignment="1">
      <alignment horizontal="center"/>
    </xf>
    <xf numFmtId="4" fontId="78" fillId="3" borderId="18" xfId="0" applyNumberFormat="1" applyFont="1" applyFill="1" applyBorder="1" applyAlignment="1">
      <alignment horizontal="center"/>
    </xf>
    <xf numFmtId="0" fontId="84" fillId="0" borderId="23" xfId="0" applyFont="1" applyBorder="1" applyAlignment="1">
      <alignment horizontal="left" vertical="top" wrapText="1"/>
    </xf>
    <xf numFmtId="0" fontId="84" fillId="0" borderId="0" xfId="0" applyFont="1" applyBorder="1" applyAlignment="1">
      <alignment horizontal="left" vertical="top" wrapText="1"/>
    </xf>
    <xf numFmtId="0" fontId="84" fillId="0" borderId="24" xfId="0" applyFont="1" applyBorder="1" applyAlignment="1">
      <alignment horizontal="left" vertical="top" wrapText="1"/>
    </xf>
    <xf numFmtId="0" fontId="75" fillId="4" borderId="25" xfId="0" applyFont="1" applyFill="1" applyBorder="1" applyAlignment="1">
      <alignment horizontal="center" vertical="center" wrapText="1"/>
    </xf>
    <xf numFmtId="0" fontId="75" fillId="4" borderId="14" xfId="0" applyFont="1" applyFill="1" applyBorder="1" applyAlignment="1">
      <alignment horizontal="center" vertical="center" wrapText="1"/>
    </xf>
    <xf numFmtId="0" fontId="75" fillId="4" borderId="15" xfId="0" applyFont="1" applyFill="1" applyBorder="1" applyAlignment="1">
      <alignment horizontal="center" vertical="center" wrapText="1"/>
    </xf>
    <xf numFmtId="49" fontId="77" fillId="4" borderId="74" xfId="0" applyNumberFormat="1" applyFont="1" applyFill="1" applyBorder="1" applyAlignment="1">
      <alignment horizontal="center" vertical="center" wrapText="1"/>
    </xf>
    <xf numFmtId="49" fontId="77" fillId="4" borderId="29" xfId="0" applyNumberFormat="1" applyFont="1" applyFill="1" applyBorder="1" applyAlignment="1">
      <alignment horizontal="center" vertical="center" wrapText="1"/>
    </xf>
    <xf numFmtId="49" fontId="77" fillId="4" borderId="30" xfId="0" applyNumberFormat="1" applyFont="1" applyFill="1" applyBorder="1" applyAlignment="1">
      <alignment horizontal="center" vertical="center" wrapText="1"/>
    </xf>
    <xf numFmtId="49" fontId="77" fillId="4" borderId="40" xfId="0" applyNumberFormat="1" applyFont="1" applyFill="1" applyBorder="1" applyAlignment="1">
      <alignment horizontal="center" vertical="center" wrapText="1"/>
    </xf>
    <xf numFmtId="49" fontId="77" fillId="4" borderId="2" xfId="0" applyNumberFormat="1" applyFont="1" applyFill="1" applyBorder="1" applyAlignment="1">
      <alignment horizontal="center" vertical="center" wrapText="1"/>
    </xf>
    <xf numFmtId="49" fontId="77" fillId="4" borderId="45" xfId="0" applyNumberFormat="1" applyFont="1" applyFill="1" applyBorder="1" applyAlignment="1">
      <alignment horizontal="center" vertical="center" wrapText="1"/>
    </xf>
    <xf numFmtId="0" fontId="75" fillId="4" borderId="10" xfId="0" applyFont="1" applyFill="1" applyBorder="1" applyAlignment="1">
      <alignment horizontal="center" vertical="center" wrapText="1"/>
    </xf>
    <xf numFmtId="0" fontId="75" fillId="4" borderId="21" xfId="0" applyFont="1" applyFill="1" applyBorder="1" applyAlignment="1">
      <alignment horizontal="center"/>
    </xf>
    <xf numFmtId="0" fontId="75" fillId="4" borderId="24" xfId="0" applyFont="1" applyFill="1" applyBorder="1" applyAlignment="1">
      <alignment horizontal="center"/>
    </xf>
    <xf numFmtId="0" fontId="75" fillId="4" borderId="0" xfId="0" applyFont="1" applyFill="1" applyBorder="1" applyAlignment="1">
      <alignment horizontal="center"/>
    </xf>
    <xf numFmtId="0" fontId="75" fillId="4" borderId="20" xfId="0" applyFont="1" applyFill="1" applyBorder="1" applyAlignment="1">
      <alignment horizontal="center"/>
    </xf>
    <xf numFmtId="0" fontId="78" fillId="4" borderId="42" xfId="0" applyFont="1" applyFill="1" applyBorder="1" applyAlignment="1">
      <alignment horizontal="center" vertical="center" wrapText="1"/>
    </xf>
    <xf numFmtId="0" fontId="78" fillId="4" borderId="54" xfId="0" applyFont="1" applyFill="1" applyBorder="1" applyAlignment="1">
      <alignment horizontal="center" vertical="center" wrapText="1"/>
    </xf>
    <xf numFmtId="0" fontId="78" fillId="4" borderId="43" xfId="0" applyFont="1" applyFill="1" applyBorder="1" applyAlignment="1">
      <alignment horizontal="center" vertical="center" wrapText="1"/>
    </xf>
    <xf numFmtId="0" fontId="16" fillId="4" borderId="21" xfId="0" applyFont="1" applyFill="1" applyBorder="1" applyAlignment="1">
      <alignment horizontal="center" wrapText="1"/>
    </xf>
    <xf numFmtId="0" fontId="16" fillId="4" borderId="24" xfId="0" applyFont="1" applyFill="1" applyBorder="1" applyAlignment="1">
      <alignment horizontal="center" wrapText="1"/>
    </xf>
    <xf numFmtId="0" fontId="16" fillId="4" borderId="22" xfId="0" applyFont="1" applyFill="1" applyBorder="1" applyAlignment="1">
      <alignment horizontal="center" wrapText="1"/>
    </xf>
    <xf numFmtId="0" fontId="14" fillId="4" borderId="72" xfId="0" applyFont="1" applyFill="1" applyBorder="1" applyAlignment="1">
      <alignment horizontal="center" vertical="center" wrapText="1"/>
    </xf>
    <xf numFmtId="0" fontId="14" fillId="4" borderId="34" xfId="0" applyFont="1" applyFill="1" applyBorder="1" applyAlignment="1">
      <alignment horizontal="center" vertical="center" wrapText="1"/>
    </xf>
    <xf numFmtId="0" fontId="14" fillId="4" borderId="33" xfId="0" applyFont="1" applyFill="1" applyBorder="1" applyAlignment="1">
      <alignment horizontal="center" vertical="center" wrapText="1"/>
    </xf>
    <xf numFmtId="0" fontId="78" fillId="4" borderId="62" xfId="0" applyFont="1" applyFill="1" applyBorder="1" applyAlignment="1">
      <alignment horizontal="center" vertical="center" wrapText="1"/>
    </xf>
    <xf numFmtId="0" fontId="78" fillId="4" borderId="49" xfId="0" applyFont="1" applyFill="1" applyBorder="1" applyAlignment="1">
      <alignment horizontal="center" vertical="center" wrapText="1"/>
    </xf>
    <xf numFmtId="0" fontId="78" fillId="4" borderId="50" xfId="0" applyFont="1" applyFill="1" applyBorder="1" applyAlignment="1">
      <alignment horizontal="center" vertical="center" wrapText="1"/>
    </xf>
    <xf numFmtId="0" fontId="78" fillId="4" borderId="26" xfId="0" applyFont="1" applyFill="1" applyBorder="1" applyAlignment="1">
      <alignment horizontal="center" vertical="center" wrapText="1"/>
    </xf>
    <xf numFmtId="0" fontId="78" fillId="4" borderId="3" xfId="0" applyFont="1" applyFill="1" applyBorder="1" applyAlignment="1">
      <alignment horizontal="center" vertical="center" wrapText="1"/>
    </xf>
    <xf numFmtId="0" fontId="14" fillId="4" borderId="3" xfId="0" applyFont="1" applyFill="1" applyBorder="1" applyAlignment="1">
      <alignment horizontal="left" vertical="center" wrapText="1"/>
    </xf>
    <xf numFmtId="4" fontId="78" fillId="0" borderId="8" xfId="0" applyNumberFormat="1" applyFont="1" applyBorder="1" applyAlignment="1">
      <alignment horizontal="center"/>
    </xf>
    <xf numFmtId="4" fontId="78" fillId="0" borderId="35" xfId="0" applyNumberFormat="1" applyFont="1" applyBorder="1" applyAlignment="1">
      <alignment horizontal="center"/>
    </xf>
    <xf numFmtId="0" fontId="14" fillId="4" borderId="13" xfId="0" applyFont="1" applyFill="1" applyBorder="1" applyAlignment="1">
      <alignment horizontal="left" vertical="center" wrapText="1"/>
    </xf>
    <xf numFmtId="0" fontId="14" fillId="4" borderId="26" xfId="0" applyFont="1" applyFill="1" applyBorder="1" applyAlignment="1">
      <alignment horizontal="left" vertical="center" wrapText="1"/>
    </xf>
    <xf numFmtId="0" fontId="73" fillId="4" borderId="51" xfId="0" applyFont="1" applyFill="1" applyBorder="1" applyAlignment="1">
      <alignment horizontal="center" vertical="center" wrapText="1"/>
    </xf>
    <xf numFmtId="0" fontId="73" fillId="4" borderId="52" xfId="0" applyFont="1" applyFill="1" applyBorder="1" applyAlignment="1">
      <alignment horizontal="center" vertical="center" wrapText="1"/>
    </xf>
    <xf numFmtId="0" fontId="73" fillId="4" borderId="53" xfId="0" applyFont="1" applyFill="1" applyBorder="1" applyAlignment="1">
      <alignment horizontal="center" vertical="center" wrapText="1"/>
    </xf>
    <xf numFmtId="0" fontId="74" fillId="4" borderId="16" xfId="0" applyFont="1" applyFill="1" applyBorder="1" applyAlignment="1">
      <alignment horizontal="center"/>
    </xf>
    <xf numFmtId="0" fontId="74" fillId="4" borderId="23" xfId="0" applyFont="1" applyFill="1" applyBorder="1" applyAlignment="1">
      <alignment horizontal="center"/>
    </xf>
    <xf numFmtId="0" fontId="74" fillId="4" borderId="17" xfId="0" applyFont="1" applyFill="1" applyBorder="1" applyAlignment="1">
      <alignment horizontal="center"/>
    </xf>
    <xf numFmtId="4" fontId="78" fillId="3" borderId="39" xfId="0" applyNumberFormat="1" applyFont="1" applyFill="1" applyBorder="1" applyAlignment="1">
      <alignment horizontal="center"/>
    </xf>
    <xf numFmtId="4" fontId="78" fillId="3" borderId="10" xfId="0" applyNumberFormat="1" applyFont="1" applyFill="1" applyBorder="1" applyAlignment="1">
      <alignment horizontal="center"/>
    </xf>
    <xf numFmtId="0" fontId="75" fillId="4" borderId="42" xfId="0" applyFont="1" applyFill="1" applyBorder="1" applyAlignment="1">
      <alignment horizontal="center" vertical="center" wrapText="1"/>
    </xf>
    <xf numFmtId="0" fontId="75" fillId="4" borderId="54" xfId="0" applyFont="1" applyFill="1" applyBorder="1" applyAlignment="1">
      <alignment horizontal="center" vertical="center" wrapText="1"/>
    </xf>
    <xf numFmtId="0" fontId="75" fillId="4" borderId="43" xfId="0" applyFont="1" applyFill="1" applyBorder="1" applyAlignment="1">
      <alignment horizontal="center" vertical="center" wrapText="1"/>
    </xf>
    <xf numFmtId="0" fontId="75" fillId="4" borderId="16" xfId="0" applyFont="1" applyFill="1" applyBorder="1" applyAlignment="1">
      <alignment horizontal="center" vertical="center" wrapText="1"/>
    </xf>
    <xf numFmtId="0" fontId="75" fillId="4" borderId="23" xfId="0" applyFont="1" applyFill="1" applyBorder="1" applyAlignment="1">
      <alignment horizontal="center" vertical="center" wrapText="1"/>
    </xf>
    <xf numFmtId="0" fontId="75" fillId="4" borderId="72" xfId="0" applyFont="1" applyFill="1" applyBorder="1" applyAlignment="1">
      <alignment horizontal="center" vertical="center" wrapText="1"/>
    </xf>
    <xf numFmtId="14" fontId="76" fillId="6" borderId="28" xfId="0" applyNumberFormat="1" applyFont="1" applyFill="1" applyBorder="1" applyAlignment="1">
      <alignment horizontal="center" vertical="center" wrapText="1"/>
    </xf>
    <xf numFmtId="14" fontId="76" fillId="6" borderId="29" xfId="0" applyNumberFormat="1" applyFont="1" applyFill="1" applyBorder="1" applyAlignment="1">
      <alignment horizontal="center" vertical="center" wrapText="1"/>
    </xf>
    <xf numFmtId="14" fontId="76" fillId="6" borderId="73" xfId="0" applyNumberFormat="1" applyFont="1" applyFill="1" applyBorder="1" applyAlignment="1">
      <alignment horizontal="center" vertical="center" wrapText="1"/>
    </xf>
    <xf numFmtId="14" fontId="76" fillId="6" borderId="34" xfId="0" applyNumberFormat="1" applyFont="1" applyFill="1" applyBorder="1" applyAlignment="1">
      <alignment horizontal="center" vertical="center" wrapText="1"/>
    </xf>
    <xf numFmtId="14" fontId="76" fillId="6" borderId="2" xfId="0" applyNumberFormat="1" applyFont="1" applyFill="1" applyBorder="1" applyAlignment="1">
      <alignment horizontal="center" vertical="center" wrapText="1"/>
    </xf>
    <xf numFmtId="14" fontId="76" fillId="6" borderId="33" xfId="0" applyNumberFormat="1" applyFont="1" applyFill="1" applyBorder="1" applyAlignment="1">
      <alignment horizontal="center" vertical="center" wrapText="1"/>
    </xf>
    <xf numFmtId="0" fontId="14" fillId="4" borderId="56" xfId="0" applyFont="1" applyFill="1" applyBorder="1" applyAlignment="1">
      <alignment horizontal="left" vertical="center" wrapText="1"/>
    </xf>
    <xf numFmtId="0" fontId="14" fillId="4" borderId="18" xfId="0" applyFont="1" applyFill="1" applyBorder="1" applyAlignment="1">
      <alignment horizontal="left" vertical="center" wrapText="1"/>
    </xf>
    <xf numFmtId="0" fontId="83" fillId="4" borderId="51" xfId="0" applyFont="1" applyFill="1" applyBorder="1" applyAlignment="1" applyProtection="1">
      <alignment horizontal="center" vertical="center"/>
      <protection locked="0"/>
    </xf>
    <xf numFmtId="0" fontId="83" fillId="4" borderId="52" xfId="0" applyFont="1" applyFill="1" applyBorder="1" applyAlignment="1" applyProtection="1">
      <alignment horizontal="center" vertical="center"/>
      <protection locked="0"/>
    </xf>
    <xf numFmtId="0" fontId="83" fillId="4" borderId="53" xfId="0" applyFont="1" applyFill="1" applyBorder="1" applyAlignment="1" applyProtection="1">
      <alignment horizontal="center" vertical="center"/>
      <protection locked="0"/>
    </xf>
    <xf numFmtId="0" fontId="3" fillId="0" borderId="0" xfId="0" applyFont="1" applyBorder="1" applyAlignment="1">
      <alignment horizontal="center"/>
    </xf>
    <xf numFmtId="4" fontId="78" fillId="0" borderId="33" xfId="0" applyNumberFormat="1" applyFont="1" applyBorder="1" applyAlignment="1">
      <alignment horizontal="center"/>
    </xf>
    <xf numFmtId="4" fontId="78" fillId="0" borderId="37" xfId="0" applyNumberFormat="1" applyFont="1" applyBorder="1" applyAlignment="1">
      <alignment horizontal="center"/>
    </xf>
    <xf numFmtId="4" fontId="78" fillId="4" borderId="32" xfId="0" applyNumberFormat="1" applyFont="1" applyFill="1" applyBorder="1" applyAlignment="1">
      <alignment horizontal="center"/>
    </xf>
    <xf numFmtId="4" fontId="78" fillId="4" borderId="78" xfId="0" applyNumberFormat="1" applyFont="1" applyFill="1" applyBorder="1" applyAlignment="1">
      <alignment horizontal="center"/>
    </xf>
    <xf numFmtId="4" fontId="78" fillId="4" borderId="55" xfId="0" applyNumberFormat="1" applyFont="1" applyFill="1" applyBorder="1" applyAlignment="1">
      <alignment horizontal="center"/>
    </xf>
    <xf numFmtId="0" fontId="84" fillId="0" borderId="0" xfId="0" applyFont="1" applyBorder="1" applyAlignment="1">
      <alignment horizontal="left" vertical="center"/>
    </xf>
    <xf numFmtId="4" fontId="78" fillId="0" borderId="40" xfId="0" applyNumberFormat="1" applyFont="1" applyBorder="1" applyAlignment="1">
      <alignment horizontal="center"/>
    </xf>
    <xf numFmtId="0" fontId="81" fillId="4" borderId="51" xfId="0" applyFont="1" applyFill="1" applyBorder="1" applyAlignment="1">
      <alignment horizontal="center" vertical="center"/>
    </xf>
    <xf numFmtId="0" fontId="81" fillId="4" borderId="52" xfId="0" applyFont="1" applyFill="1" applyBorder="1" applyAlignment="1">
      <alignment horizontal="center" vertical="center"/>
    </xf>
    <xf numFmtId="0" fontId="81" fillId="4" borderId="53" xfId="0" applyFont="1" applyFill="1" applyBorder="1" applyAlignment="1">
      <alignment horizontal="center" vertical="center"/>
    </xf>
    <xf numFmtId="0" fontId="78" fillId="4" borderId="56" xfId="0" applyFont="1" applyFill="1" applyBorder="1" applyAlignment="1">
      <alignment horizontal="center"/>
    </xf>
    <xf numFmtId="0" fontId="78" fillId="4" borderId="48" xfId="0" applyFont="1" applyFill="1" applyBorder="1" applyAlignment="1">
      <alignment horizontal="center"/>
    </xf>
    <xf numFmtId="0" fontId="78" fillId="4" borderId="36" xfId="0" applyFont="1" applyFill="1" applyBorder="1" applyAlignment="1">
      <alignment horizontal="center"/>
    </xf>
    <xf numFmtId="0" fontId="78" fillId="4" borderId="46" xfId="0" applyFont="1" applyFill="1" applyBorder="1" applyAlignment="1">
      <alignment horizontal="center" vertical="center" wrapText="1"/>
    </xf>
    <xf numFmtId="0" fontId="78" fillId="4" borderId="72" xfId="0" applyFont="1" applyFill="1" applyBorder="1" applyAlignment="1">
      <alignment horizontal="center" vertical="center" wrapText="1"/>
    </xf>
    <xf numFmtId="0" fontId="78" fillId="4" borderId="33" xfId="0" applyFont="1" applyFill="1" applyBorder="1" applyAlignment="1">
      <alignment horizontal="center" vertical="center" wrapText="1"/>
    </xf>
    <xf numFmtId="0" fontId="78" fillId="4" borderId="63" xfId="0" applyFont="1" applyFill="1" applyBorder="1" applyAlignment="1">
      <alignment horizontal="center" vertical="center" wrapText="1"/>
    </xf>
    <xf numFmtId="0" fontId="78" fillId="4" borderId="39" xfId="0" applyFont="1" applyFill="1" applyBorder="1" applyAlignment="1">
      <alignment horizontal="center" vertical="center" wrapText="1"/>
    </xf>
    <xf numFmtId="0" fontId="79" fillId="8" borderId="63" xfId="0" applyFont="1" applyFill="1" applyBorder="1" applyAlignment="1">
      <alignment horizontal="center" vertical="center" wrapText="1"/>
    </xf>
    <xf numFmtId="0" fontId="79" fillId="8" borderId="39" xfId="0" applyFont="1" applyFill="1" applyBorder="1" applyAlignment="1">
      <alignment horizontal="center" vertical="center" wrapText="1"/>
    </xf>
    <xf numFmtId="0" fontId="79" fillId="8" borderId="5" xfId="0" applyFont="1" applyFill="1" applyBorder="1" applyAlignment="1">
      <alignment horizontal="center" vertical="center" wrapText="1"/>
    </xf>
    <xf numFmtId="0" fontId="79" fillId="8" borderId="1" xfId="0" applyFont="1" applyFill="1" applyBorder="1" applyAlignment="1">
      <alignment horizontal="center" vertical="center" wrapText="1"/>
    </xf>
    <xf numFmtId="4" fontId="78" fillId="0" borderId="65" xfId="0" applyNumberFormat="1" applyFont="1" applyBorder="1" applyAlignment="1">
      <alignment horizontal="center"/>
    </xf>
    <xf numFmtId="4" fontId="78" fillId="0" borderId="66" xfId="0" applyNumberFormat="1" applyFont="1" applyBorder="1" applyAlignment="1">
      <alignment horizontal="center"/>
    </xf>
    <xf numFmtId="4" fontId="78" fillId="0" borderId="57" xfId="0" applyNumberFormat="1" applyFont="1" applyBorder="1" applyAlignment="1">
      <alignment horizontal="center"/>
    </xf>
    <xf numFmtId="0" fontId="74" fillId="4" borderId="13" xfId="0" applyFont="1" applyFill="1" applyBorder="1" applyAlignment="1">
      <alignment horizontal="center"/>
    </xf>
    <xf numFmtId="0" fontId="74" fillId="4" borderId="14" xfId="0" applyFont="1" applyFill="1" applyBorder="1" applyAlignment="1">
      <alignment horizontal="center"/>
    </xf>
    <xf numFmtId="0" fontId="74" fillId="4" borderId="15" xfId="0" applyFont="1" applyFill="1" applyBorder="1" applyAlignment="1">
      <alignment horizontal="center"/>
    </xf>
    <xf numFmtId="0" fontId="10" fillId="4" borderId="16" xfId="0" applyFont="1" applyFill="1" applyBorder="1" applyAlignment="1">
      <alignment horizontal="center" wrapText="1"/>
    </xf>
    <xf numFmtId="0" fontId="10" fillId="4" borderId="23" xfId="0" applyFont="1" applyFill="1" applyBorder="1" applyAlignment="1">
      <alignment horizontal="center" wrapText="1"/>
    </xf>
    <xf numFmtId="0" fontId="10" fillId="4" borderId="17" xfId="0" applyFont="1" applyFill="1" applyBorder="1" applyAlignment="1">
      <alignment horizontal="center" wrapText="1"/>
    </xf>
    <xf numFmtId="0" fontId="70" fillId="8" borderId="16" xfId="0" applyFont="1" applyFill="1" applyBorder="1" applyAlignment="1">
      <alignment horizontal="center" vertical="center" wrapText="1"/>
    </xf>
    <xf numFmtId="0" fontId="70" fillId="8" borderId="23" xfId="0" applyFont="1" applyFill="1" applyBorder="1" applyAlignment="1">
      <alignment horizontal="center" vertical="center" wrapText="1"/>
    </xf>
    <xf numFmtId="0" fontId="70" fillId="8" borderId="72" xfId="0" applyFont="1" applyFill="1" applyBorder="1" applyAlignment="1">
      <alignment horizontal="center" vertical="center" wrapText="1"/>
    </xf>
    <xf numFmtId="0" fontId="70" fillId="8" borderId="19" xfId="0" applyFont="1" applyFill="1" applyBorder="1" applyAlignment="1">
      <alignment horizontal="center" vertical="center" wrapText="1"/>
    </xf>
    <xf numFmtId="0" fontId="70" fillId="8" borderId="0" xfId="0" applyFont="1" applyFill="1" applyBorder="1" applyAlignment="1">
      <alignment horizontal="center" vertical="center" wrapText="1"/>
    </xf>
    <xf numFmtId="0" fontId="70" fillId="8" borderId="70" xfId="0" applyFont="1" applyFill="1" applyBorder="1" applyAlignment="1">
      <alignment horizontal="center" vertical="center" wrapText="1"/>
    </xf>
    <xf numFmtId="14" fontId="25" fillId="6" borderId="21" xfId="0" applyNumberFormat="1" applyFont="1" applyFill="1" applyBorder="1" applyAlignment="1">
      <alignment horizontal="center" vertical="center" wrapText="1"/>
    </xf>
    <xf numFmtId="14" fontId="25" fillId="6" borderId="24" xfId="0" applyNumberFormat="1" applyFont="1" applyFill="1" applyBorder="1" applyAlignment="1">
      <alignment horizontal="center" vertical="center" wrapText="1"/>
    </xf>
    <xf numFmtId="14" fontId="25" fillId="6" borderId="32" xfId="0" applyNumberFormat="1" applyFont="1" applyFill="1" applyBorder="1" applyAlignment="1">
      <alignment horizontal="center" vertical="center" wrapText="1"/>
    </xf>
    <xf numFmtId="4" fontId="14" fillId="0" borderId="24" xfId="0" applyNumberFormat="1" applyFont="1" applyBorder="1" applyAlignment="1">
      <alignment horizontal="center"/>
    </xf>
    <xf numFmtId="0" fontId="16" fillId="4" borderId="71" xfId="0" applyFont="1" applyFill="1" applyBorder="1" applyAlignment="1">
      <alignment horizontal="center" vertical="center" wrapText="1"/>
    </xf>
    <xf numFmtId="0" fontId="16" fillId="4" borderId="23" xfId="0" applyFont="1" applyFill="1" applyBorder="1" applyAlignment="1">
      <alignment horizontal="center" vertical="center" wrapText="1"/>
    </xf>
    <xf numFmtId="0" fontId="16" fillId="4" borderId="17" xfId="0" applyFont="1" applyFill="1" applyBorder="1" applyAlignment="1">
      <alignment horizontal="center" vertical="center" wrapText="1"/>
    </xf>
    <xf numFmtId="0" fontId="16" fillId="4" borderId="79"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6" fillId="4" borderId="20" xfId="0" applyFont="1" applyFill="1" applyBorder="1" applyAlignment="1">
      <alignment horizontal="center" vertical="center" wrapText="1"/>
    </xf>
    <xf numFmtId="49" fontId="17" fillId="4" borderId="78" xfId="0" applyNumberFormat="1" applyFont="1" applyFill="1" applyBorder="1" applyAlignment="1">
      <alignment horizontal="center" vertical="center" wrapText="1"/>
    </xf>
    <xf numFmtId="49" fontId="17" fillId="4" borderId="24" xfId="0" applyNumberFormat="1" applyFont="1" applyFill="1" applyBorder="1" applyAlignment="1">
      <alignment horizontal="center" vertical="center" wrapText="1"/>
    </xf>
    <xf numFmtId="49" fontId="17" fillId="4" borderId="22" xfId="0" applyNumberFormat="1" applyFont="1" applyFill="1" applyBorder="1" applyAlignment="1">
      <alignment horizontal="center" vertical="center" wrapText="1"/>
    </xf>
    <xf numFmtId="4" fontId="14" fillId="0" borderId="22" xfId="0" applyNumberFormat="1" applyFont="1" applyBorder="1" applyAlignment="1">
      <alignment horizontal="center"/>
    </xf>
    <xf numFmtId="0" fontId="74" fillId="4" borderId="51" xfId="0" applyFont="1" applyFill="1" applyBorder="1" applyAlignment="1">
      <alignment horizontal="center"/>
    </xf>
    <xf numFmtId="0" fontId="74" fillId="4" borderId="52" xfId="0" applyFont="1" applyFill="1" applyBorder="1" applyAlignment="1">
      <alignment horizontal="center"/>
    </xf>
    <xf numFmtId="0" fontId="74" fillId="4" borderId="53" xfId="0" applyFont="1" applyFill="1" applyBorder="1" applyAlignment="1">
      <alignment horizontal="center"/>
    </xf>
    <xf numFmtId="0" fontId="78" fillId="4" borderId="25" xfId="0" applyFont="1" applyFill="1" applyBorder="1" applyAlignment="1">
      <alignment horizontal="center" vertical="center" wrapText="1"/>
    </xf>
    <xf numFmtId="0" fontId="78" fillId="4" borderId="12" xfId="0" applyFont="1" applyFill="1" applyBorder="1" applyAlignment="1">
      <alignment horizontal="center" vertical="center" wrapText="1"/>
    </xf>
    <xf numFmtId="0" fontId="74" fillId="4" borderId="65" xfId="0" applyFont="1" applyFill="1" applyBorder="1" applyAlignment="1">
      <alignment horizontal="center"/>
    </xf>
    <xf numFmtId="0" fontId="74" fillId="4" borderId="66" xfId="0" applyFont="1" applyFill="1" applyBorder="1" applyAlignment="1">
      <alignment horizontal="center"/>
    </xf>
    <xf numFmtId="0" fontId="74" fillId="4" borderId="57" xfId="0" applyFont="1" applyFill="1" applyBorder="1" applyAlignment="1">
      <alignment horizontal="center"/>
    </xf>
    <xf numFmtId="0" fontId="75" fillId="4" borderId="9" xfId="0" applyFont="1" applyFill="1" applyBorder="1" applyAlignment="1">
      <alignment horizontal="center" vertical="center" wrapText="1"/>
    </xf>
    <xf numFmtId="4" fontId="78" fillId="3" borderId="2" xfId="0" applyNumberFormat="1" applyFont="1" applyFill="1" applyBorder="1" applyAlignment="1">
      <alignment horizontal="center"/>
    </xf>
    <xf numFmtId="4" fontId="78" fillId="3" borderId="33" xfId="0" applyNumberFormat="1" applyFont="1" applyFill="1" applyBorder="1" applyAlignment="1">
      <alignment horizontal="center"/>
    </xf>
    <xf numFmtId="0" fontId="14" fillId="4" borderId="13" xfId="0" applyFont="1" applyFill="1" applyBorder="1" applyAlignment="1">
      <alignment horizontal="left"/>
    </xf>
    <xf numFmtId="0" fontId="14" fillId="4" borderId="15" xfId="0" applyFont="1" applyFill="1" applyBorder="1" applyAlignment="1">
      <alignment horizontal="left"/>
    </xf>
    <xf numFmtId="0" fontId="14" fillId="4" borderId="44" xfId="0" applyFont="1" applyFill="1" applyBorder="1" applyAlignment="1">
      <alignment horizontal="left"/>
    </xf>
    <xf numFmtId="0" fontId="14" fillId="4" borderId="27" xfId="0" applyFont="1" applyFill="1" applyBorder="1" applyAlignment="1">
      <alignment horizontal="left"/>
    </xf>
    <xf numFmtId="0" fontId="14" fillId="4" borderId="21" xfId="0" applyFont="1" applyFill="1" applyBorder="1" applyAlignment="1">
      <alignment horizontal="left"/>
    </xf>
    <xf numFmtId="0" fontId="14" fillId="4" borderId="22" xfId="0" applyFont="1" applyFill="1" applyBorder="1" applyAlignment="1">
      <alignment horizontal="left"/>
    </xf>
    <xf numFmtId="0" fontId="14" fillId="4" borderId="42" xfId="0" applyFont="1" applyFill="1" applyBorder="1" applyAlignment="1">
      <alignment horizontal="center" vertical="center" wrapText="1"/>
    </xf>
    <xf numFmtId="0" fontId="14" fillId="4" borderId="43" xfId="0" applyFont="1" applyFill="1" applyBorder="1" applyAlignment="1">
      <alignment horizontal="center" vertical="center" wrapText="1"/>
    </xf>
    <xf numFmtId="0" fontId="14" fillId="4" borderId="52" xfId="0" applyFont="1" applyFill="1" applyBorder="1" applyAlignment="1">
      <alignment horizontal="center" vertical="center"/>
    </xf>
    <xf numFmtId="0" fontId="14" fillId="4" borderId="53" xfId="0" applyFont="1" applyFill="1" applyBorder="1" applyAlignment="1">
      <alignment horizontal="center" vertical="center"/>
    </xf>
    <xf numFmtId="0" fontId="17" fillId="4" borderId="16" xfId="0" applyFont="1" applyFill="1" applyBorder="1" applyAlignment="1">
      <alignment horizontal="center" vertical="center"/>
    </xf>
    <xf numFmtId="0" fontId="17" fillId="4" borderId="17" xfId="0" applyFont="1" applyFill="1" applyBorder="1" applyAlignment="1">
      <alignment horizontal="center" vertical="center"/>
    </xf>
    <xf numFmtId="0" fontId="16" fillId="4" borderId="16" xfId="0" applyFont="1" applyFill="1" applyBorder="1" applyAlignment="1">
      <alignment horizontal="left" vertical="top" wrapText="1" shrinkToFit="1"/>
    </xf>
    <xf numFmtId="0" fontId="16" fillId="4" borderId="23" xfId="0" applyFont="1" applyFill="1" applyBorder="1" applyAlignment="1">
      <alignment horizontal="left" vertical="top" wrapText="1" shrinkToFit="1"/>
    </xf>
    <xf numFmtId="0" fontId="16" fillId="4" borderId="17" xfId="0" applyFont="1" applyFill="1" applyBorder="1" applyAlignment="1">
      <alignment horizontal="left" vertical="top" wrapText="1" shrinkToFit="1"/>
    </xf>
    <xf numFmtId="0" fontId="16" fillId="4" borderId="19" xfId="0" applyFont="1" applyFill="1" applyBorder="1" applyAlignment="1">
      <alignment horizontal="left" vertical="top" wrapText="1" shrinkToFit="1"/>
    </xf>
    <xf numFmtId="0" fontId="16" fillId="4" borderId="0" xfId="0" applyFont="1" applyFill="1" applyBorder="1" applyAlignment="1">
      <alignment horizontal="left" vertical="top" wrapText="1" shrinkToFit="1"/>
    </xf>
    <xf numFmtId="0" fontId="16" fillId="4" borderId="20" xfId="0" applyFont="1" applyFill="1" applyBorder="1" applyAlignment="1">
      <alignment horizontal="left" vertical="top" wrapText="1" shrinkToFit="1"/>
    </xf>
    <xf numFmtId="0" fontId="16" fillId="4" borderId="21" xfId="0" applyFont="1" applyFill="1" applyBorder="1" applyAlignment="1">
      <alignment horizontal="left" vertical="top" wrapText="1" shrinkToFit="1"/>
    </xf>
    <xf numFmtId="0" fontId="16" fillId="4" borderId="24" xfId="0" applyFont="1" applyFill="1" applyBorder="1" applyAlignment="1">
      <alignment horizontal="left" vertical="top" wrapText="1" shrinkToFit="1"/>
    </xf>
    <xf numFmtId="0" fontId="16" fillId="4" borderId="22" xfId="0" applyFont="1" applyFill="1" applyBorder="1" applyAlignment="1">
      <alignment horizontal="left" vertical="top" wrapText="1" shrinkToFit="1"/>
    </xf>
    <xf numFmtId="0" fontId="17" fillId="4" borderId="23" xfId="0" applyFont="1" applyFill="1" applyBorder="1" applyAlignment="1">
      <alignment horizontal="center" vertical="center"/>
    </xf>
    <xf numFmtId="0" fontId="16" fillId="4" borderId="16" xfId="0" applyFont="1" applyFill="1" applyBorder="1" applyAlignment="1">
      <alignment horizontal="left" wrapText="1" shrinkToFit="1"/>
    </xf>
    <xf numFmtId="0" fontId="16" fillId="4" borderId="23" xfId="0" applyFont="1" applyFill="1" applyBorder="1" applyAlignment="1">
      <alignment horizontal="left" wrapText="1" shrinkToFit="1"/>
    </xf>
    <xf numFmtId="0" fontId="16" fillId="4" borderId="17" xfId="0" applyFont="1" applyFill="1" applyBorder="1" applyAlignment="1">
      <alignment horizontal="left" wrapText="1" shrinkToFit="1"/>
    </xf>
    <xf numFmtId="0" fontId="16" fillId="4" borderId="21" xfId="0" applyFont="1" applyFill="1" applyBorder="1" applyAlignment="1">
      <alignment horizontal="left" wrapText="1" shrinkToFit="1"/>
    </xf>
    <xf numFmtId="0" fontId="16" fillId="4" borderId="24" xfId="0" applyFont="1" applyFill="1" applyBorder="1" applyAlignment="1">
      <alignment horizontal="left" wrapText="1" shrinkToFit="1"/>
    </xf>
    <xf numFmtId="0" fontId="16" fillId="4" borderId="22" xfId="0" applyFont="1" applyFill="1" applyBorder="1" applyAlignment="1">
      <alignment horizontal="left" wrapText="1" shrinkToFit="1"/>
    </xf>
    <xf numFmtId="0" fontId="16" fillId="4" borderId="34" xfId="0" applyFont="1" applyFill="1" applyBorder="1" applyAlignment="1">
      <alignment horizontal="left" vertical="center" wrapText="1" shrinkToFit="1"/>
    </xf>
    <xf numFmtId="0" fontId="16" fillId="4" borderId="2" xfId="0" applyFont="1" applyFill="1" applyBorder="1" applyAlignment="1">
      <alignment horizontal="left" vertical="center" wrapText="1" shrinkToFit="1"/>
    </xf>
    <xf numFmtId="0" fontId="16" fillId="4" borderId="45" xfId="0" applyFont="1" applyFill="1" applyBorder="1" applyAlignment="1">
      <alignment horizontal="left" vertical="center" wrapText="1" shrinkToFit="1"/>
    </xf>
    <xf numFmtId="0" fontId="16" fillId="4" borderId="56" xfId="0" applyFont="1" applyFill="1" applyBorder="1" applyAlignment="1">
      <alignment horizontal="left" vertical="center" wrapText="1" shrinkToFit="1"/>
    </xf>
    <xf numFmtId="0" fontId="16" fillId="4" borderId="48" xfId="0" applyFont="1" applyFill="1" applyBorder="1" applyAlignment="1">
      <alignment horizontal="left" vertical="center" wrapText="1" shrinkToFit="1"/>
    </xf>
    <xf numFmtId="0" fontId="16" fillId="4" borderId="36" xfId="0" applyFont="1" applyFill="1" applyBorder="1" applyAlignment="1">
      <alignment horizontal="left" vertical="center" wrapText="1" shrinkToFit="1"/>
    </xf>
    <xf numFmtId="0" fontId="16" fillId="4" borderId="34" xfId="0" applyFont="1" applyFill="1" applyBorder="1" applyAlignment="1">
      <alignment horizontal="left" vertical="top" wrapText="1" shrinkToFit="1"/>
    </xf>
    <xf numFmtId="0" fontId="16" fillId="4" borderId="2" xfId="0" applyFont="1" applyFill="1" applyBorder="1" applyAlignment="1">
      <alignment horizontal="left" vertical="top" wrapText="1" shrinkToFit="1"/>
    </xf>
    <xf numFmtId="0" fontId="16" fillId="4" borderId="44" xfId="0" applyFont="1" applyFill="1" applyBorder="1" applyAlignment="1">
      <alignment horizontal="left" wrapText="1" shrinkToFit="1"/>
    </xf>
    <xf numFmtId="0" fontId="16" fillId="4" borderId="47" xfId="0" applyFont="1" applyFill="1" applyBorder="1" applyAlignment="1">
      <alignment horizontal="left" wrapText="1" shrinkToFit="1"/>
    </xf>
    <xf numFmtId="0" fontId="62" fillId="4" borderId="44" xfId="709" applyFont="1" applyFill="1" applyBorder="1" applyAlignment="1">
      <alignment horizontal="left"/>
    </xf>
    <xf numFmtId="0" fontId="62" fillId="4" borderId="47" xfId="709" applyFont="1" applyFill="1" applyBorder="1" applyAlignment="1">
      <alignment horizontal="left"/>
    </xf>
    <xf numFmtId="0" fontId="62" fillId="4" borderId="56" xfId="709" applyFont="1" applyFill="1" applyBorder="1" applyAlignment="1">
      <alignment horizontal="left"/>
    </xf>
    <xf numFmtId="0" fontId="62" fillId="4" borderId="48" xfId="709" applyFont="1" applyFill="1" applyBorder="1" applyAlignment="1">
      <alignment horizontal="left"/>
    </xf>
    <xf numFmtId="4" fontId="16" fillId="0" borderId="56" xfId="0" applyNumberFormat="1" applyFont="1" applyBorder="1" applyAlignment="1">
      <alignment horizontal="center"/>
    </xf>
    <xf numFmtId="4" fontId="16" fillId="0" borderId="36" xfId="0" applyNumberFormat="1" applyFont="1" applyBorder="1" applyAlignment="1">
      <alignment horizontal="center"/>
    </xf>
    <xf numFmtId="14" fontId="17" fillId="4" borderId="21" xfId="0" applyNumberFormat="1" applyFont="1" applyFill="1" applyBorder="1" applyAlignment="1">
      <alignment horizontal="center" vertical="center"/>
    </xf>
    <xf numFmtId="14" fontId="17" fillId="4" borderId="22" xfId="0" applyNumberFormat="1" applyFont="1" applyFill="1" applyBorder="1" applyAlignment="1">
      <alignment horizontal="center" vertical="center"/>
    </xf>
    <xf numFmtId="0" fontId="54" fillId="4" borderId="51" xfId="709" applyFont="1" applyFill="1" applyBorder="1" applyAlignment="1">
      <alignment horizontal="center"/>
    </xf>
    <xf numFmtId="4" fontId="16" fillId="0" borderId="13" xfId="0" applyNumberFormat="1" applyFont="1" applyBorder="1" applyAlignment="1">
      <alignment horizontal="center"/>
    </xf>
    <xf numFmtId="4" fontId="16" fillId="0" borderId="15" xfId="0" applyNumberFormat="1" applyFont="1" applyBorder="1" applyAlignment="1">
      <alignment horizontal="center"/>
    </xf>
    <xf numFmtId="14" fontId="17" fillId="4" borderId="24" xfId="0" applyNumberFormat="1" applyFont="1" applyFill="1" applyBorder="1" applyAlignment="1">
      <alignment horizontal="center" vertical="center"/>
    </xf>
    <xf numFmtId="0" fontId="17" fillId="4" borderId="24" xfId="0" applyFont="1" applyFill="1" applyBorder="1" applyAlignment="1">
      <alignment horizontal="center" vertical="center"/>
    </xf>
    <xf numFmtId="0" fontId="16" fillId="4" borderId="16" xfId="0" applyFont="1" applyFill="1" applyBorder="1" applyAlignment="1">
      <alignment horizontal="left" vertical="center"/>
    </xf>
    <xf numFmtId="0" fontId="16" fillId="4" borderId="23" xfId="0" applyFont="1" applyFill="1" applyBorder="1" applyAlignment="1">
      <alignment horizontal="left" vertical="center"/>
    </xf>
    <xf numFmtId="0" fontId="16" fillId="4" borderId="17" xfId="0" applyFont="1" applyFill="1" applyBorder="1" applyAlignment="1">
      <alignment horizontal="left" vertical="center"/>
    </xf>
    <xf numFmtId="0" fontId="16" fillId="4" borderId="21" xfId="0" applyFont="1" applyFill="1" applyBorder="1" applyAlignment="1">
      <alignment horizontal="left" vertical="center"/>
    </xf>
    <xf numFmtId="0" fontId="16" fillId="4" borderId="24" xfId="0" applyFont="1" applyFill="1" applyBorder="1" applyAlignment="1">
      <alignment horizontal="left" vertical="center"/>
    </xf>
    <xf numFmtId="0" fontId="16" fillId="4" borderId="22" xfId="0" applyFont="1" applyFill="1" applyBorder="1" applyAlignment="1">
      <alignment horizontal="left" vertical="center"/>
    </xf>
    <xf numFmtId="0" fontId="16" fillId="4" borderId="56" xfId="0" applyFont="1" applyFill="1" applyBorder="1" applyAlignment="1">
      <alignment horizontal="left"/>
    </xf>
    <xf numFmtId="0" fontId="16" fillId="4" borderId="48" xfId="0" applyFont="1" applyFill="1" applyBorder="1" applyAlignment="1">
      <alignment horizontal="left"/>
    </xf>
    <xf numFmtId="0" fontId="16" fillId="4" borderId="36" xfId="0" applyFont="1" applyFill="1" applyBorder="1" applyAlignment="1">
      <alignment horizontal="left"/>
    </xf>
    <xf numFmtId="4" fontId="16" fillId="0" borderId="14" xfId="0" applyNumberFormat="1" applyFont="1" applyBorder="1" applyAlignment="1">
      <alignment horizontal="center"/>
    </xf>
    <xf numFmtId="4" fontId="16" fillId="0" borderId="24" xfId="0" applyNumberFormat="1" applyFont="1" applyBorder="1" applyAlignment="1">
      <alignment horizontal="center"/>
    </xf>
    <xf numFmtId="4" fontId="16" fillId="0" borderId="22" xfId="0" applyNumberFormat="1" applyFont="1" applyBorder="1" applyAlignment="1">
      <alignment horizontal="center"/>
    </xf>
    <xf numFmtId="0" fontId="16" fillId="4" borderId="13" xfId="0" applyFont="1" applyFill="1" applyBorder="1" applyAlignment="1">
      <alignment horizontal="left"/>
    </xf>
    <xf numFmtId="0" fontId="16" fillId="4" borderId="14" xfId="0" applyFont="1" applyFill="1" applyBorder="1" applyAlignment="1">
      <alignment horizontal="left"/>
    </xf>
    <xf numFmtId="0" fontId="16" fillId="4" borderId="15" xfId="0" applyFont="1" applyFill="1" applyBorder="1" applyAlignment="1">
      <alignment horizontal="left"/>
    </xf>
    <xf numFmtId="0" fontId="17" fillId="4" borderId="22" xfId="0" applyFont="1" applyFill="1" applyBorder="1" applyAlignment="1">
      <alignment horizontal="center" vertical="center"/>
    </xf>
    <xf numFmtId="0" fontId="63" fillId="4" borderId="21" xfId="709" applyFont="1" applyFill="1" applyBorder="1" applyAlignment="1">
      <alignment horizontal="center" vertical="center" wrapText="1"/>
    </xf>
    <xf numFmtId="0" fontId="63" fillId="4" borderId="24" xfId="709" applyFont="1" applyFill="1" applyBorder="1" applyAlignment="1">
      <alignment horizontal="center" vertical="center" wrapText="1"/>
    </xf>
    <xf numFmtId="0" fontId="63" fillId="4" borderId="22" xfId="709" applyFont="1" applyFill="1" applyBorder="1" applyAlignment="1">
      <alignment horizontal="center" vertical="center" wrapText="1"/>
    </xf>
    <xf numFmtId="2" fontId="16" fillId="0" borderId="20" xfId="0" applyNumberFormat="1" applyFont="1" applyBorder="1" applyAlignment="1">
      <alignment horizontal="center"/>
    </xf>
    <xf numFmtId="2" fontId="16" fillId="0" borderId="45" xfId="0" applyNumberFormat="1" applyFont="1" applyBorder="1" applyAlignment="1">
      <alignment horizontal="center"/>
    </xf>
    <xf numFmtId="0" fontId="36" fillId="4" borderId="51" xfId="709" applyFont="1" applyFill="1" applyBorder="1" applyAlignment="1">
      <alignment horizontal="right" vertical="center"/>
    </xf>
    <xf numFmtId="0" fontId="36" fillId="4" borderId="52" xfId="709" applyFont="1" applyFill="1" applyBorder="1" applyAlignment="1">
      <alignment horizontal="right" vertical="center"/>
    </xf>
    <xf numFmtId="0" fontId="62" fillId="4" borderId="51" xfId="709" applyFont="1" applyFill="1" applyBorder="1" applyAlignment="1">
      <alignment horizontal="center" vertical="center"/>
    </xf>
    <xf numFmtId="0" fontId="62" fillId="4" borderId="52" xfId="709" applyFont="1" applyFill="1" applyBorder="1" applyAlignment="1">
      <alignment horizontal="center" vertical="center"/>
    </xf>
    <xf numFmtId="0" fontId="62" fillId="4" borderId="53" xfId="709" applyFont="1" applyFill="1" applyBorder="1" applyAlignment="1">
      <alignment horizontal="center" vertical="center"/>
    </xf>
    <xf numFmtId="0" fontId="36" fillId="4" borderId="51" xfId="709" applyFont="1" applyFill="1" applyBorder="1" applyAlignment="1" applyProtection="1">
      <alignment horizontal="center" vertical="center" wrapText="1"/>
      <protection locked="0"/>
    </xf>
    <xf numFmtId="0" fontId="36" fillId="4" borderId="53" xfId="709" applyFont="1" applyFill="1" applyBorder="1" applyAlignment="1" applyProtection="1">
      <alignment horizontal="center" vertical="center" wrapText="1"/>
      <protection locked="0"/>
    </xf>
    <xf numFmtId="4" fontId="16" fillId="0" borderId="42" xfId="0" applyNumberFormat="1" applyFont="1" applyBorder="1" applyAlignment="1">
      <alignment horizontal="center"/>
    </xf>
    <xf numFmtId="4" fontId="16" fillId="0" borderId="46" xfId="0" applyNumberFormat="1" applyFont="1" applyBorder="1" applyAlignment="1">
      <alignment horizontal="center"/>
    </xf>
    <xf numFmtId="0" fontId="36" fillId="4" borderId="51" xfId="709" applyFont="1" applyFill="1" applyBorder="1" applyAlignment="1">
      <alignment horizontal="center" vertical="center" wrapText="1"/>
    </xf>
    <xf numFmtId="0" fontId="36" fillId="4" borderId="53" xfId="709" applyFont="1" applyFill="1" applyBorder="1" applyAlignment="1">
      <alignment horizontal="center" vertical="center" wrapText="1"/>
    </xf>
    <xf numFmtId="0" fontId="36" fillId="4" borderId="51" xfId="709" applyFont="1" applyFill="1" applyBorder="1" applyAlignment="1" applyProtection="1">
      <alignment horizontal="center" vertical="center"/>
      <protection locked="0"/>
    </xf>
    <xf numFmtId="0" fontId="36" fillId="4" borderId="52" xfId="709" applyFont="1" applyFill="1" applyBorder="1" applyAlignment="1" applyProtection="1">
      <alignment horizontal="center" vertical="center"/>
      <protection locked="0"/>
    </xf>
    <xf numFmtId="0" fontId="36" fillId="4" borderId="53" xfId="709" applyFont="1" applyFill="1" applyBorder="1" applyAlignment="1" applyProtection="1">
      <alignment horizontal="center" vertical="center"/>
      <protection locked="0"/>
    </xf>
    <xf numFmtId="0" fontId="17" fillId="4" borderId="58" xfId="0" applyFont="1" applyFill="1" applyBorder="1" applyAlignment="1">
      <alignment horizontal="center"/>
    </xf>
    <xf numFmtId="0" fontId="17" fillId="4" borderId="59" xfId="0" applyFont="1" applyFill="1" applyBorder="1" applyAlignment="1">
      <alignment horizontal="center"/>
    </xf>
    <xf numFmtId="14" fontId="17" fillId="4" borderId="31" xfId="0" applyNumberFormat="1" applyFont="1" applyFill="1" applyBorder="1" applyAlignment="1">
      <alignment horizontal="center"/>
    </xf>
    <xf numFmtId="14" fontId="17" fillId="4" borderId="55" xfId="0" applyNumberFormat="1" applyFont="1" applyFill="1" applyBorder="1" applyAlignment="1">
      <alignment horizontal="center"/>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7" fillId="4" borderId="53" xfId="0" applyFont="1" applyFill="1" applyBorder="1" applyAlignment="1">
      <alignment horizontal="center" vertical="center" wrapText="1"/>
    </xf>
    <xf numFmtId="4" fontId="16" fillId="3" borderId="31" xfId="0" applyNumberFormat="1" applyFont="1" applyFill="1" applyBorder="1" applyAlignment="1">
      <alignment horizontal="center" vertical="center"/>
    </xf>
    <xf numFmtId="4" fontId="16" fillId="3" borderId="55" xfId="0" applyNumberFormat="1" applyFont="1" applyFill="1" applyBorder="1" applyAlignment="1">
      <alignment horizontal="center" vertical="center"/>
    </xf>
    <xf numFmtId="4" fontId="16" fillId="3" borderId="32" xfId="0" applyNumberFormat="1" applyFont="1" applyFill="1" applyBorder="1" applyAlignment="1">
      <alignment horizontal="center" vertical="center"/>
    </xf>
    <xf numFmtId="4" fontId="16" fillId="3" borderId="78" xfId="0" applyNumberFormat="1" applyFont="1" applyFill="1" applyBorder="1" applyAlignment="1">
      <alignment horizontal="center" vertical="center"/>
    </xf>
    <xf numFmtId="0" fontId="16" fillId="4" borderId="0" xfId="0" applyFont="1" applyFill="1" applyBorder="1" applyAlignment="1">
      <alignment horizontal="left" wrapText="1" shrinkToFit="1"/>
    </xf>
    <xf numFmtId="0" fontId="16" fillId="4" borderId="2" xfId="0" applyFont="1" applyFill="1" applyBorder="1" applyAlignment="1">
      <alignment horizontal="left" wrapText="1" shrinkToFit="1"/>
    </xf>
    <xf numFmtId="0" fontId="14" fillId="4" borderId="28" xfId="0" applyFont="1" applyFill="1" applyBorder="1" applyAlignment="1">
      <alignment horizontal="left" vertical="center" wrapText="1" shrinkToFit="1"/>
    </xf>
    <xf numFmtId="0" fontId="14" fillId="4" borderId="29" xfId="0" applyFont="1" applyFill="1" applyBorder="1" applyAlignment="1">
      <alignment horizontal="left" vertical="center" wrapText="1" shrinkToFit="1"/>
    </xf>
    <xf numFmtId="0" fontId="14" fillId="4" borderId="30" xfId="0" applyFont="1" applyFill="1" applyBorder="1" applyAlignment="1">
      <alignment horizontal="left" vertical="center" wrapText="1" shrinkToFit="1"/>
    </xf>
    <xf numFmtId="0" fontId="14" fillId="4" borderId="34" xfId="0" applyFont="1" applyFill="1" applyBorder="1" applyAlignment="1">
      <alignment horizontal="left" vertical="center" wrapText="1" shrinkToFit="1"/>
    </xf>
    <xf numFmtId="0" fontId="14" fillId="4" borderId="2" xfId="0" applyFont="1" applyFill="1" applyBorder="1" applyAlignment="1">
      <alignment horizontal="left" vertical="center" wrapText="1" shrinkToFit="1"/>
    </xf>
    <xf numFmtId="0" fontId="14" fillId="4" borderId="45" xfId="0" applyFont="1" applyFill="1" applyBorder="1" applyAlignment="1">
      <alignment horizontal="left" vertical="center" wrapText="1" shrinkToFit="1"/>
    </xf>
    <xf numFmtId="0" fontId="14" fillId="4" borderId="56" xfId="0" applyFont="1" applyFill="1" applyBorder="1" applyAlignment="1">
      <alignment horizontal="left" vertical="center" wrapText="1" shrinkToFit="1"/>
    </xf>
    <xf numFmtId="0" fontId="14" fillId="4" borderId="48" xfId="0" applyFont="1" applyFill="1" applyBorder="1" applyAlignment="1">
      <alignment horizontal="left" vertical="center" wrapText="1" shrinkToFit="1"/>
    </xf>
    <xf numFmtId="0" fontId="14" fillId="4" borderId="28" xfId="0" applyFont="1" applyFill="1" applyBorder="1" applyAlignment="1">
      <alignment horizontal="center" vertical="center" wrapText="1" shrinkToFit="1"/>
    </xf>
    <xf numFmtId="0" fontId="14" fillId="4" borderId="29" xfId="0" applyFont="1" applyFill="1" applyBorder="1" applyAlignment="1">
      <alignment horizontal="center" vertical="center" wrapText="1" shrinkToFit="1"/>
    </xf>
    <xf numFmtId="0" fontId="14" fillId="4" borderId="13" xfId="0" applyFont="1" applyFill="1" applyBorder="1" applyAlignment="1">
      <alignment horizontal="center" vertical="center" wrapText="1" shrinkToFit="1"/>
    </xf>
    <xf numFmtId="0" fontId="14" fillId="4" borderId="14" xfId="0" applyFont="1" applyFill="1" applyBorder="1" applyAlignment="1">
      <alignment horizontal="center" vertical="center" wrapText="1" shrinkToFit="1"/>
    </xf>
    <xf numFmtId="0" fontId="14" fillId="4" borderId="15" xfId="0" applyFont="1" applyFill="1" applyBorder="1" applyAlignment="1">
      <alignment horizontal="center" vertical="center" wrapText="1" shrinkToFit="1"/>
    </xf>
    <xf numFmtId="0" fontId="14" fillId="4" borderId="44" xfId="0" applyFont="1" applyFill="1" applyBorder="1" applyAlignment="1">
      <alignment horizontal="left" vertical="center" wrapText="1" shrinkToFit="1"/>
    </xf>
    <xf numFmtId="0" fontId="14" fillId="4" borderId="47" xfId="0" applyFont="1" applyFill="1" applyBorder="1" applyAlignment="1">
      <alignment horizontal="left" vertical="center" wrapText="1" shrinkToFit="1"/>
    </xf>
    <xf numFmtId="0" fontId="13" fillId="4" borderId="28" xfId="0" applyFont="1" applyFill="1" applyBorder="1" applyAlignment="1">
      <alignment horizontal="left" vertical="center" wrapText="1" shrinkToFit="1"/>
    </xf>
    <xf numFmtId="0" fontId="13" fillId="4" borderId="29" xfId="0" applyFont="1" applyFill="1" applyBorder="1" applyAlignment="1">
      <alignment horizontal="left" vertical="center" wrapText="1" shrinkToFit="1"/>
    </xf>
    <xf numFmtId="0" fontId="13" fillId="4" borderId="30" xfId="0" applyFont="1" applyFill="1" applyBorder="1" applyAlignment="1">
      <alignment horizontal="left" vertical="center" wrapText="1" shrinkToFit="1"/>
    </xf>
    <xf numFmtId="0" fontId="13" fillId="4" borderId="34" xfId="0" applyFont="1" applyFill="1" applyBorder="1" applyAlignment="1">
      <alignment horizontal="left" vertical="center" wrapText="1" shrinkToFit="1"/>
    </xf>
    <xf numFmtId="0" fontId="13" fillId="4" borderId="2" xfId="0" applyFont="1" applyFill="1" applyBorder="1" applyAlignment="1">
      <alignment horizontal="left" vertical="center" wrapText="1" shrinkToFit="1"/>
    </xf>
    <xf numFmtId="0" fontId="13" fillId="4" borderId="45" xfId="0" applyFont="1" applyFill="1" applyBorder="1" applyAlignment="1">
      <alignment horizontal="left" vertical="center" wrapText="1" shrinkToFit="1"/>
    </xf>
    <xf numFmtId="0" fontId="38" fillId="4" borderId="44" xfId="709" applyFont="1" applyFill="1" applyBorder="1" applyAlignment="1">
      <alignment horizontal="left"/>
    </xf>
    <xf numFmtId="0" fontId="38" fillId="4" borderId="47" xfId="709" applyFont="1" applyFill="1" applyBorder="1" applyAlignment="1">
      <alignment horizontal="left"/>
    </xf>
    <xf numFmtId="0" fontId="23" fillId="4" borderId="19" xfId="0" applyFont="1" applyFill="1" applyBorder="1" applyAlignment="1">
      <alignment horizontal="center" wrapText="1"/>
    </xf>
    <xf numFmtId="0" fontId="23" fillId="4" borderId="0" xfId="0" applyFont="1" applyFill="1" applyBorder="1" applyAlignment="1">
      <alignment horizontal="center" wrapText="1"/>
    </xf>
    <xf numFmtId="0" fontId="23" fillId="4" borderId="20" xfId="0" applyFont="1" applyFill="1" applyBorder="1" applyAlignment="1">
      <alignment horizontal="center" wrapText="1"/>
    </xf>
    <xf numFmtId="0" fontId="36" fillId="4" borderId="51" xfId="709" applyFont="1" applyFill="1" applyBorder="1" applyAlignment="1">
      <alignment horizontal="center"/>
    </xf>
    <xf numFmtId="0" fontId="36" fillId="4" borderId="52" xfId="709" applyFont="1" applyFill="1" applyBorder="1" applyAlignment="1">
      <alignment horizontal="center"/>
    </xf>
    <xf numFmtId="0" fontId="36" fillId="4" borderId="53" xfId="709" applyFont="1" applyFill="1" applyBorder="1" applyAlignment="1">
      <alignment horizontal="center"/>
    </xf>
    <xf numFmtId="0" fontId="36" fillId="4" borderId="16" xfId="709" applyFont="1" applyFill="1" applyBorder="1" applyAlignment="1">
      <alignment horizontal="center"/>
    </xf>
    <xf numFmtId="0" fontId="36" fillId="4" borderId="23" xfId="709" applyFont="1" applyFill="1" applyBorder="1" applyAlignment="1">
      <alignment horizontal="center"/>
    </xf>
    <xf numFmtId="0" fontId="36" fillId="4" borderId="17" xfId="709" applyFont="1" applyFill="1" applyBorder="1" applyAlignment="1">
      <alignment horizontal="center"/>
    </xf>
    <xf numFmtId="0" fontId="45" fillId="0" borderId="0" xfId="709" applyFont="1" applyAlignment="1">
      <alignment horizontal="center"/>
    </xf>
    <xf numFmtId="0" fontId="46" fillId="0" borderId="0" xfId="709" applyFont="1" applyAlignment="1">
      <alignment horizontal="center"/>
    </xf>
    <xf numFmtId="0" fontId="14" fillId="4" borderId="9" xfId="0" applyFont="1" applyFill="1" applyBorder="1" applyAlignment="1">
      <alignment horizontal="left" vertical="center" wrapText="1" shrinkToFit="1"/>
    </xf>
    <xf numFmtId="0" fontId="14" fillId="4" borderId="10" xfId="0" applyFont="1" applyFill="1" applyBorder="1" applyAlignment="1">
      <alignment horizontal="left" vertical="center" wrapText="1" shrinkToFit="1"/>
    </xf>
    <xf numFmtId="0" fontId="14" fillId="4" borderId="7" xfId="0" applyFont="1" applyFill="1" applyBorder="1" applyAlignment="1">
      <alignment horizontal="left" vertical="center" wrapText="1" shrinkToFit="1"/>
    </xf>
    <xf numFmtId="0" fontId="14" fillId="4" borderId="1" xfId="0" applyFont="1" applyFill="1" applyBorder="1" applyAlignment="1">
      <alignment horizontal="left" vertical="center" wrapText="1" shrinkToFit="1"/>
    </xf>
    <xf numFmtId="0" fontId="14" fillId="3" borderId="61" xfId="0" applyFont="1" applyFill="1" applyBorder="1" applyAlignment="1">
      <alignment horizontal="left" vertical="center" wrapText="1"/>
    </xf>
    <xf numFmtId="0" fontId="40" fillId="0" borderId="0" xfId="709" applyFont="1" applyAlignment="1">
      <alignment horizontal="center"/>
    </xf>
    <xf numFmtId="0" fontId="47" fillId="0" borderId="0" xfId="709" applyFont="1" applyAlignment="1">
      <alignment horizontal="left" vertical="center" wrapText="1"/>
    </xf>
    <xf numFmtId="0" fontId="38" fillId="0" borderId="0" xfId="709" applyFont="1" applyAlignment="1">
      <alignment horizontal="left" vertical="top" wrapText="1"/>
    </xf>
    <xf numFmtId="0" fontId="47" fillId="0" borderId="0" xfId="709" applyFont="1" applyAlignment="1">
      <alignment horizontal="left" vertical="top" wrapText="1"/>
    </xf>
    <xf numFmtId="0" fontId="13" fillId="3" borderId="0" xfId="0" applyFont="1" applyFill="1" applyBorder="1" applyAlignment="1">
      <alignment horizontal="center"/>
    </xf>
    <xf numFmtId="0" fontId="13" fillId="4" borderId="51" xfId="0" applyFont="1" applyFill="1" applyBorder="1" applyAlignment="1">
      <alignment horizontal="left" vertical="center" wrapText="1"/>
    </xf>
    <xf numFmtId="0" fontId="13" fillId="4" borderId="52" xfId="0" applyFont="1" applyFill="1" applyBorder="1" applyAlignment="1">
      <alignment horizontal="left" vertical="center" wrapText="1"/>
    </xf>
    <xf numFmtId="0" fontId="13" fillId="4" borderId="61" xfId="0" applyFont="1" applyFill="1" applyBorder="1" applyAlignment="1">
      <alignment horizontal="left" vertical="center" wrapText="1"/>
    </xf>
    <xf numFmtId="164" fontId="39" fillId="0" borderId="68" xfId="80" applyFont="1" applyBorder="1" applyAlignment="1">
      <alignment vertical="center" wrapText="1"/>
    </xf>
    <xf numFmtId="164" fontId="39" fillId="0" borderId="46" xfId="80" applyFont="1" applyBorder="1" applyAlignment="1">
      <alignment vertical="center" wrapText="1"/>
    </xf>
    <xf numFmtId="0" fontId="14" fillId="4" borderId="36" xfId="0" applyFont="1" applyFill="1" applyBorder="1" applyAlignment="1">
      <alignment horizontal="left" vertical="center" wrapText="1" shrinkToFit="1"/>
    </xf>
    <xf numFmtId="0" fontId="14" fillId="4" borderId="19" xfId="0" applyFont="1" applyFill="1" applyBorder="1" applyAlignment="1">
      <alignment horizontal="left" vertical="center" wrapText="1" shrinkToFit="1"/>
    </xf>
    <xf numFmtId="0" fontId="14" fillId="4" borderId="0" xfId="0" applyFont="1" applyFill="1" applyBorder="1" applyAlignment="1">
      <alignment horizontal="left" vertical="center" wrapText="1" shrinkToFit="1"/>
    </xf>
    <xf numFmtId="0" fontId="16" fillId="4" borderId="51" xfId="0" applyFont="1" applyFill="1" applyBorder="1" applyAlignment="1">
      <alignment horizontal="left"/>
    </xf>
    <xf numFmtId="0" fontId="16" fillId="4" borderId="52" xfId="0" applyFont="1" applyFill="1" applyBorder="1" applyAlignment="1">
      <alignment horizontal="left"/>
    </xf>
    <xf numFmtId="0" fontId="16" fillId="4" borderId="53" xfId="0" applyFont="1" applyFill="1" applyBorder="1" applyAlignment="1">
      <alignment horizontal="left"/>
    </xf>
    <xf numFmtId="4" fontId="12" fillId="0" borderId="52" xfId="0" applyNumberFormat="1" applyFont="1" applyBorder="1" applyAlignment="1">
      <alignment horizontal="center"/>
    </xf>
    <xf numFmtId="4" fontId="12" fillId="0" borderId="53" xfId="0" applyNumberFormat="1" applyFont="1" applyBorder="1" applyAlignment="1">
      <alignment horizontal="center"/>
    </xf>
    <xf numFmtId="4" fontId="12" fillId="0" borderId="51" xfId="0" applyNumberFormat="1" applyFont="1" applyBorder="1" applyAlignment="1">
      <alignment horizontal="center"/>
    </xf>
    <xf numFmtId="0" fontId="17" fillId="4" borderId="16" xfId="0" applyFont="1" applyFill="1" applyBorder="1" applyAlignment="1">
      <alignment horizontal="center" vertical="center" wrapText="1"/>
    </xf>
    <xf numFmtId="0" fontId="17" fillId="4" borderId="23"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64" fillId="4" borderId="19" xfId="709" applyFont="1" applyFill="1" applyBorder="1" applyAlignment="1">
      <alignment horizontal="center" wrapText="1"/>
    </xf>
    <xf numFmtId="0" fontId="64" fillId="4" borderId="0" xfId="709" applyFont="1" applyFill="1" applyBorder="1" applyAlignment="1">
      <alignment horizontal="center" wrapText="1"/>
    </xf>
    <xf numFmtId="0" fontId="64" fillId="4" borderId="20" xfId="709" applyFont="1" applyFill="1" applyBorder="1" applyAlignment="1">
      <alignment horizontal="center" wrapText="1"/>
    </xf>
    <xf numFmtId="0" fontId="64" fillId="4" borderId="21" xfId="709" applyFont="1" applyFill="1" applyBorder="1" applyAlignment="1">
      <alignment horizontal="center" wrapText="1"/>
    </xf>
    <xf numFmtId="0" fontId="64" fillId="4" borderId="24" xfId="709" applyFont="1" applyFill="1" applyBorder="1" applyAlignment="1">
      <alignment horizontal="center" wrapText="1"/>
    </xf>
    <xf numFmtId="0" fontId="64" fillId="4" borderId="22" xfId="709" applyFont="1" applyFill="1" applyBorder="1" applyAlignment="1">
      <alignment horizontal="center" wrapText="1"/>
    </xf>
    <xf numFmtId="0" fontId="42" fillId="0" borderId="23" xfId="709" applyFont="1" applyBorder="1" applyAlignment="1">
      <alignment horizontal="center"/>
    </xf>
    <xf numFmtId="0" fontId="14" fillId="4" borderId="19" xfId="0" applyFont="1" applyFill="1" applyBorder="1" applyAlignment="1">
      <alignment horizontal="center" vertical="center" wrapText="1" shrinkToFit="1"/>
    </xf>
    <xf numFmtId="0" fontId="14" fillId="4" borderId="0" xfId="0" applyFont="1" applyFill="1" applyBorder="1" applyAlignment="1">
      <alignment horizontal="center" vertical="center" wrapText="1" shrinkToFit="1"/>
    </xf>
    <xf numFmtId="0" fontId="14" fillId="4" borderId="16" xfId="0" applyFont="1" applyFill="1" applyBorder="1" applyAlignment="1">
      <alignment horizontal="center" vertical="center" wrapText="1" shrinkToFit="1"/>
    </xf>
    <xf numFmtId="0" fontId="14" fillId="4" borderId="23" xfId="0" applyFont="1" applyFill="1" applyBorder="1" applyAlignment="1">
      <alignment horizontal="center" vertical="center" wrapText="1" shrinkToFit="1"/>
    </xf>
    <xf numFmtId="0" fontId="14" fillId="4" borderId="17" xfId="0" applyFont="1" applyFill="1" applyBorder="1" applyAlignment="1">
      <alignment horizontal="center" vertical="center" wrapText="1" shrinkToFit="1"/>
    </xf>
    <xf numFmtId="0" fontId="14" fillId="4" borderId="20" xfId="0" applyFont="1" applyFill="1" applyBorder="1" applyAlignment="1">
      <alignment horizontal="left" vertical="center" wrapText="1" shrinkToFit="1"/>
    </xf>
    <xf numFmtId="0" fontId="13" fillId="4" borderId="16" xfId="0" applyFont="1" applyFill="1" applyBorder="1" applyAlignment="1">
      <alignment horizontal="left" vertical="center" wrapText="1" shrinkToFit="1"/>
    </xf>
    <xf numFmtId="0" fontId="13" fillId="4" borderId="23" xfId="0" applyFont="1" applyFill="1" applyBorder="1" applyAlignment="1">
      <alignment horizontal="left" vertical="center" wrapText="1" shrinkToFit="1"/>
    </xf>
    <xf numFmtId="0" fontId="13" fillId="4" borderId="17" xfId="0" applyFont="1" applyFill="1" applyBorder="1" applyAlignment="1">
      <alignment horizontal="left" vertical="center" wrapText="1" shrinkToFit="1"/>
    </xf>
    <xf numFmtId="0" fontId="13" fillId="4" borderId="19" xfId="0" applyFont="1" applyFill="1" applyBorder="1" applyAlignment="1">
      <alignment horizontal="left" vertical="center" wrapText="1" shrinkToFit="1"/>
    </xf>
    <xf numFmtId="0" fontId="13" fillId="4" borderId="0" xfId="0" applyFont="1" applyFill="1" applyBorder="1" applyAlignment="1">
      <alignment horizontal="left" vertical="center" wrapText="1" shrinkToFit="1"/>
    </xf>
    <xf numFmtId="0" fontId="13" fillId="4" borderId="20" xfId="0" applyFont="1" applyFill="1" applyBorder="1" applyAlignment="1">
      <alignment horizontal="left" vertical="center" wrapText="1" shrinkToFit="1"/>
    </xf>
    <xf numFmtId="0" fontId="53" fillId="4" borderId="13" xfId="709" applyFont="1" applyFill="1" applyBorder="1" applyAlignment="1">
      <alignment horizontal="center" vertical="center" wrapText="1"/>
    </xf>
    <xf numFmtId="0" fontId="53" fillId="4" borderId="15" xfId="709" applyFont="1" applyFill="1" applyBorder="1" applyAlignment="1">
      <alignment horizontal="center" vertical="center" wrapText="1"/>
    </xf>
    <xf numFmtId="4" fontId="38" fillId="0" borderId="44" xfId="709" applyNumberFormat="1" applyFont="1" applyBorder="1" applyAlignment="1">
      <alignment horizontal="center" vertical="center" wrapText="1"/>
    </xf>
    <xf numFmtId="4" fontId="38" fillId="0" borderId="27" xfId="709" applyNumberFormat="1" applyFont="1" applyBorder="1" applyAlignment="1">
      <alignment horizontal="center" vertical="center" wrapText="1"/>
    </xf>
    <xf numFmtId="4" fontId="38" fillId="0" borderId="56" xfId="709" applyNumberFormat="1" applyFont="1" applyBorder="1" applyAlignment="1">
      <alignment horizontal="center" vertical="center" wrapText="1"/>
    </xf>
    <xf numFmtId="4" fontId="38" fillId="0" borderId="36" xfId="709" applyNumberFormat="1" applyFont="1" applyBorder="1" applyAlignment="1">
      <alignment horizontal="center" vertical="center" wrapText="1"/>
    </xf>
    <xf numFmtId="0" fontId="65" fillId="4" borderId="21" xfId="709" applyFont="1" applyFill="1" applyBorder="1" applyAlignment="1">
      <alignment horizontal="center" vertical="center" wrapText="1"/>
    </xf>
    <xf numFmtId="0" fontId="65" fillId="4" borderId="24" xfId="709" applyFont="1" applyFill="1" applyBorder="1" applyAlignment="1">
      <alignment horizontal="center" vertical="center" wrapText="1"/>
    </xf>
    <xf numFmtId="0" fontId="65" fillId="4" borderId="22" xfId="709" applyFont="1" applyFill="1" applyBorder="1" applyAlignment="1">
      <alignment horizontal="center" vertical="center" wrapText="1"/>
    </xf>
    <xf numFmtId="0" fontId="16" fillId="4" borderId="19" xfId="0" applyFont="1" applyFill="1" applyBorder="1" applyAlignment="1">
      <alignment horizontal="center" vertical="center"/>
    </xf>
    <xf numFmtId="0" fontId="16" fillId="4" borderId="0" xfId="0" applyFont="1" applyFill="1" applyBorder="1" applyAlignment="1">
      <alignment horizontal="center" vertical="center"/>
    </xf>
    <xf numFmtId="0" fontId="16" fillId="4" borderId="20" xfId="0" applyFont="1" applyFill="1" applyBorder="1" applyAlignment="1">
      <alignment horizontal="center" vertical="center"/>
    </xf>
    <xf numFmtId="0" fontId="47" fillId="0" borderId="0" xfId="709" applyFont="1" applyAlignment="1">
      <alignment horizontal="center"/>
    </xf>
    <xf numFmtId="0" fontId="13" fillId="4" borderId="21" xfId="0" applyFont="1" applyFill="1" applyBorder="1" applyAlignment="1">
      <alignment horizontal="left" vertical="center" wrapText="1" shrinkToFit="1"/>
    </xf>
    <xf numFmtId="0" fontId="13" fillId="4" borderId="24" xfId="0" applyFont="1" applyFill="1" applyBorder="1" applyAlignment="1">
      <alignment horizontal="left" vertical="center" wrapText="1" shrinkToFit="1"/>
    </xf>
    <xf numFmtId="0" fontId="13" fillId="4" borderId="22" xfId="0" applyFont="1" applyFill="1" applyBorder="1" applyAlignment="1">
      <alignment horizontal="left" vertical="center" wrapText="1" shrinkToFit="1"/>
    </xf>
    <xf numFmtId="0" fontId="14" fillId="4" borderId="51" xfId="0" applyFont="1" applyFill="1" applyBorder="1" applyAlignment="1">
      <alignment horizontal="center" vertical="center" wrapText="1" shrinkToFit="1"/>
    </xf>
    <xf numFmtId="0" fontId="14" fillId="4" borderId="52" xfId="0" applyFont="1" applyFill="1" applyBorder="1" applyAlignment="1">
      <alignment horizontal="center" vertical="center" wrapText="1" shrinkToFit="1"/>
    </xf>
    <xf numFmtId="0" fontId="14" fillId="4" borderId="53" xfId="0" applyFont="1" applyFill="1" applyBorder="1" applyAlignment="1">
      <alignment horizontal="center" vertical="center" wrapText="1" shrinkToFit="1"/>
    </xf>
    <xf numFmtId="0" fontId="14" fillId="4" borderId="13" xfId="0" applyFont="1" applyFill="1" applyBorder="1" applyAlignment="1">
      <alignment horizontal="left" vertical="center" wrapText="1" shrinkToFit="1"/>
    </xf>
    <xf numFmtId="0" fontId="14" fillId="4" borderId="14" xfId="0" applyFont="1" applyFill="1" applyBorder="1" applyAlignment="1">
      <alignment horizontal="left" vertical="center" wrapText="1" shrinkToFit="1"/>
    </xf>
    <xf numFmtId="0" fontId="38" fillId="4" borderId="51" xfId="709" applyFont="1" applyFill="1" applyBorder="1" applyAlignment="1">
      <alignment horizontal="center"/>
    </xf>
    <xf numFmtId="0" fontId="38" fillId="4" borderId="52" xfId="709" applyFont="1" applyFill="1" applyBorder="1" applyAlignment="1">
      <alignment horizontal="center"/>
    </xf>
    <xf numFmtId="0" fontId="38" fillId="4" borderId="53" xfId="709" applyFont="1" applyFill="1" applyBorder="1" applyAlignment="1">
      <alignment horizontal="center"/>
    </xf>
    <xf numFmtId="0" fontId="11" fillId="4" borderId="51" xfId="0" applyFont="1" applyFill="1" applyBorder="1" applyAlignment="1">
      <alignment horizontal="center" vertical="center"/>
    </xf>
    <xf numFmtId="0" fontId="11" fillId="4" borderId="53" xfId="0" applyFont="1" applyFill="1" applyBorder="1" applyAlignment="1">
      <alignment horizontal="center" vertical="center"/>
    </xf>
    <xf numFmtId="0" fontId="12" fillId="3" borderId="52" xfId="0" applyFont="1" applyFill="1" applyBorder="1" applyAlignment="1">
      <alignment horizontal="center" vertical="center"/>
    </xf>
    <xf numFmtId="0" fontId="12" fillId="4" borderId="44" xfId="0" applyFont="1" applyFill="1" applyBorder="1" applyAlignment="1">
      <alignment horizontal="left" vertical="center"/>
    </xf>
    <xf numFmtId="0" fontId="12" fillId="4" borderId="47" xfId="0" applyFont="1" applyFill="1" applyBorder="1" applyAlignment="1">
      <alignment horizontal="left" vertical="center"/>
    </xf>
    <xf numFmtId="0" fontId="12" fillId="4" borderId="28" xfId="0" applyFont="1" applyFill="1" applyBorder="1" applyAlignment="1">
      <alignment horizontal="left" vertical="center"/>
    </xf>
    <xf numFmtId="0" fontId="12" fillId="4" borderId="29" xfId="0" applyFont="1" applyFill="1" applyBorder="1" applyAlignment="1">
      <alignment horizontal="left" vertical="center"/>
    </xf>
    <xf numFmtId="0" fontId="11" fillId="4" borderId="42" xfId="0" applyFont="1" applyFill="1" applyBorder="1" applyAlignment="1">
      <alignment horizontal="center" vertical="center" wrapText="1"/>
    </xf>
    <xf numFmtId="0" fontId="11" fillId="4" borderId="54" xfId="0" applyFont="1" applyFill="1" applyBorder="1" applyAlignment="1">
      <alignment horizontal="center" vertical="center" wrapText="1"/>
    </xf>
    <xf numFmtId="0" fontId="17" fillId="4" borderId="21" xfId="0" applyFont="1" applyFill="1" applyBorder="1" applyAlignment="1">
      <alignment horizontal="center" vertical="center"/>
    </xf>
    <xf numFmtId="0" fontId="12" fillId="4" borderId="34" xfId="0" applyFont="1" applyFill="1" applyBorder="1" applyAlignment="1">
      <alignment horizontal="left" vertical="center"/>
    </xf>
    <xf numFmtId="0" fontId="12" fillId="4" borderId="2" xfId="0" applyFont="1" applyFill="1" applyBorder="1" applyAlignment="1">
      <alignment horizontal="left" vertical="center"/>
    </xf>
    <xf numFmtId="0" fontId="12" fillId="4" borderId="21" xfId="0" applyFont="1" applyFill="1" applyBorder="1" applyAlignment="1">
      <alignment horizontal="left" vertical="center"/>
    </xf>
    <xf numFmtId="0" fontId="12" fillId="4" borderId="24" xfId="0" applyFont="1" applyFill="1" applyBorder="1" applyAlignment="1">
      <alignment horizontal="left" vertical="center"/>
    </xf>
    <xf numFmtId="0" fontId="62" fillId="4" borderId="21" xfId="709" applyFont="1" applyFill="1" applyBorder="1" applyAlignment="1">
      <alignment horizontal="center"/>
    </xf>
    <xf numFmtId="0" fontId="62" fillId="4" borderId="24" xfId="709" applyFont="1" applyFill="1" applyBorder="1" applyAlignment="1">
      <alignment horizontal="center"/>
    </xf>
    <xf numFmtId="0" fontId="62" fillId="4" borderId="22" xfId="709" applyFont="1" applyFill="1" applyBorder="1" applyAlignment="1">
      <alignment horizontal="center"/>
    </xf>
    <xf numFmtId="0" fontId="41" fillId="4" borderId="51" xfId="709" applyFont="1" applyFill="1" applyBorder="1" applyAlignment="1">
      <alignment horizontal="center"/>
    </xf>
    <xf numFmtId="0" fontId="41" fillId="4" borderId="52" xfId="709" applyFont="1" applyFill="1" applyBorder="1" applyAlignment="1">
      <alignment horizontal="center"/>
    </xf>
    <xf numFmtId="0" fontId="41" fillId="4" borderId="53" xfId="709" applyFont="1" applyFill="1" applyBorder="1" applyAlignment="1">
      <alignment horizontal="center"/>
    </xf>
    <xf numFmtId="0" fontId="41" fillId="4" borderId="23" xfId="709" applyFont="1" applyFill="1" applyBorder="1" applyAlignment="1">
      <alignment horizontal="center"/>
    </xf>
    <xf numFmtId="0" fontId="41" fillId="4" borderId="17" xfId="709" applyFont="1" applyFill="1" applyBorder="1" applyAlignment="1">
      <alignment horizontal="center"/>
    </xf>
    <xf numFmtId="0" fontId="16" fillId="4" borderId="21" xfId="0" quotePrefix="1" applyFont="1" applyFill="1" applyBorder="1" applyAlignment="1">
      <alignment horizontal="center" vertical="center" wrapText="1"/>
    </xf>
    <xf numFmtId="0" fontId="16" fillId="4" borderId="24" xfId="0" quotePrefix="1" applyFont="1" applyFill="1" applyBorder="1" applyAlignment="1">
      <alignment horizontal="center" vertical="center" wrapText="1"/>
    </xf>
    <xf numFmtId="0" fontId="16" fillId="4" borderId="22" xfId="0" quotePrefix="1" applyFont="1" applyFill="1" applyBorder="1" applyAlignment="1">
      <alignment horizontal="center" vertical="center" wrapText="1"/>
    </xf>
    <xf numFmtId="0" fontId="12" fillId="4" borderId="51" xfId="0" applyFont="1" applyFill="1" applyBorder="1" applyAlignment="1">
      <alignment horizontal="left" vertical="center"/>
    </xf>
    <xf numFmtId="0" fontId="12" fillId="4" borderId="52" xfId="0" applyFont="1" applyFill="1" applyBorder="1" applyAlignment="1">
      <alignment horizontal="left" vertical="center"/>
    </xf>
    <xf numFmtId="0" fontId="12" fillId="4" borderId="53" xfId="0" applyFont="1" applyFill="1" applyBorder="1" applyAlignment="1">
      <alignment horizontal="left" vertical="center"/>
    </xf>
    <xf numFmtId="0" fontId="12" fillId="4" borderId="51" xfId="0" applyFont="1" applyFill="1" applyBorder="1" applyAlignment="1">
      <alignment horizontal="left"/>
    </xf>
    <xf numFmtId="0" fontId="12" fillId="4" borderId="52" xfId="0" applyFont="1" applyFill="1" applyBorder="1" applyAlignment="1">
      <alignment horizontal="left"/>
    </xf>
    <xf numFmtId="0" fontId="12" fillId="4" borderId="53" xfId="0" applyFont="1" applyFill="1" applyBorder="1" applyAlignment="1">
      <alignment horizontal="left"/>
    </xf>
    <xf numFmtId="0" fontId="11" fillId="4" borderId="16" xfId="0" applyFont="1" applyFill="1" applyBorder="1" applyAlignment="1">
      <alignment horizontal="center" vertical="center"/>
    </xf>
    <xf numFmtId="0" fontId="11" fillId="4" borderId="17" xfId="0" applyFont="1" applyFill="1" applyBorder="1" applyAlignment="1">
      <alignment horizontal="center" vertical="center"/>
    </xf>
    <xf numFmtId="14" fontId="11" fillId="4" borderId="21" xfId="0" applyNumberFormat="1" applyFont="1" applyFill="1" applyBorder="1" applyAlignment="1">
      <alignment horizontal="center" vertical="center"/>
    </xf>
    <xf numFmtId="14" fontId="11" fillId="4" borderId="22" xfId="0" applyNumberFormat="1" applyFont="1" applyFill="1" applyBorder="1" applyAlignment="1">
      <alignment horizontal="center" vertical="center"/>
    </xf>
    <xf numFmtId="2" fontId="12" fillId="3" borderId="51" xfId="0" applyNumberFormat="1" applyFont="1" applyFill="1" applyBorder="1" applyAlignment="1">
      <alignment horizontal="center" vertical="center"/>
    </xf>
    <xf numFmtId="2" fontId="12" fillId="3" borderId="53" xfId="0" applyNumberFormat="1" applyFont="1" applyFill="1" applyBorder="1" applyAlignment="1">
      <alignment horizontal="center" vertical="center"/>
    </xf>
    <xf numFmtId="0" fontId="61" fillId="4" borderId="21" xfId="0" applyFont="1" applyFill="1" applyBorder="1" applyAlignment="1">
      <alignment horizontal="center" wrapText="1"/>
    </xf>
    <xf numFmtId="0" fontId="61" fillId="4" borderId="24" xfId="0" applyFont="1" applyFill="1" applyBorder="1" applyAlignment="1">
      <alignment horizontal="center" wrapText="1"/>
    </xf>
    <xf numFmtId="0" fontId="61" fillId="4" borderId="22" xfId="0" applyFont="1" applyFill="1" applyBorder="1" applyAlignment="1">
      <alignment horizontal="center" wrapText="1"/>
    </xf>
    <xf numFmtId="0" fontId="39" fillId="4" borderId="34" xfId="0" applyFont="1" applyFill="1" applyBorder="1" applyAlignment="1">
      <alignment horizontal="left" vertical="center" wrapText="1" shrinkToFit="1"/>
    </xf>
    <xf numFmtId="0" fontId="39" fillId="4" borderId="2" xfId="0" applyFont="1" applyFill="1" applyBorder="1" applyAlignment="1">
      <alignment horizontal="left" vertical="center" wrapText="1" shrinkToFit="1"/>
    </xf>
    <xf numFmtId="0" fontId="40" fillId="4" borderId="16" xfId="0" applyFont="1" applyFill="1" applyBorder="1" applyAlignment="1">
      <alignment horizontal="center"/>
    </xf>
    <xf numFmtId="0" fontId="40" fillId="4" borderId="23" xfId="0" applyFont="1" applyFill="1" applyBorder="1" applyAlignment="1">
      <alignment horizontal="center"/>
    </xf>
    <xf numFmtId="0" fontId="40" fillId="4" borderId="17" xfId="0" applyFont="1" applyFill="1" applyBorder="1" applyAlignment="1">
      <alignment horizontal="center"/>
    </xf>
    <xf numFmtId="0" fontId="40" fillId="4" borderId="19" xfId="0" applyFont="1" applyFill="1" applyBorder="1" applyAlignment="1">
      <alignment horizontal="center" wrapText="1"/>
    </xf>
    <xf numFmtId="0" fontId="40" fillId="4" borderId="0" xfId="0" applyFont="1" applyFill="1" applyBorder="1" applyAlignment="1">
      <alignment horizontal="center" wrapText="1"/>
    </xf>
    <xf numFmtId="0" fontId="40" fillId="4" borderId="20" xfId="0" applyFont="1" applyFill="1" applyBorder="1" applyAlignment="1">
      <alignment horizontal="center" wrapText="1"/>
    </xf>
    <xf numFmtId="0" fontId="40" fillId="4" borderId="19" xfId="0" applyFont="1" applyFill="1" applyBorder="1" applyAlignment="1">
      <alignment horizontal="center"/>
    </xf>
    <xf numFmtId="0" fontId="40" fillId="4" borderId="0" xfId="0" applyFont="1" applyFill="1" applyBorder="1" applyAlignment="1">
      <alignment horizontal="center"/>
    </xf>
    <xf numFmtId="0" fontId="40" fillId="4" borderId="20" xfId="0" applyFont="1" applyFill="1" applyBorder="1" applyAlignment="1">
      <alignment horizontal="center"/>
    </xf>
    <xf numFmtId="0" fontId="36" fillId="3" borderId="0" xfId="709" applyFont="1" applyFill="1" applyBorder="1" applyAlignment="1">
      <alignment horizontal="center"/>
    </xf>
    <xf numFmtId="0" fontId="39" fillId="4" borderId="51" xfId="709" applyFont="1" applyFill="1" applyBorder="1" applyAlignment="1">
      <alignment horizontal="center"/>
    </xf>
    <xf numFmtId="0" fontId="39" fillId="4" borderId="52" xfId="709" applyFont="1" applyFill="1" applyBorder="1" applyAlignment="1">
      <alignment horizontal="center"/>
    </xf>
    <xf numFmtId="0" fontId="39" fillId="4" borderId="53" xfId="709" applyFont="1" applyFill="1" applyBorder="1" applyAlignment="1">
      <alignment horizontal="center"/>
    </xf>
    <xf numFmtId="0" fontId="36" fillId="4" borderId="51" xfId="0" applyFont="1" applyFill="1" applyBorder="1" applyAlignment="1">
      <alignment horizontal="center" vertical="center"/>
    </xf>
    <xf numFmtId="0" fontId="36" fillId="4" borderId="52" xfId="0" applyFont="1" applyFill="1" applyBorder="1" applyAlignment="1">
      <alignment horizontal="center" vertical="center"/>
    </xf>
    <xf numFmtId="0" fontId="36" fillId="4" borderId="53" xfId="0" applyFont="1" applyFill="1" applyBorder="1" applyAlignment="1">
      <alignment horizontal="center" vertical="center"/>
    </xf>
    <xf numFmtId="0" fontId="39" fillId="4" borderId="21" xfId="0" applyFont="1" applyFill="1" applyBorder="1" applyAlignment="1">
      <alignment horizontal="center" vertical="center" wrapText="1" shrinkToFit="1"/>
    </xf>
    <xf numFmtId="0" fontId="39" fillId="4" borderId="24" xfId="0" applyFont="1" applyFill="1" applyBorder="1" applyAlignment="1">
      <alignment horizontal="center" vertical="center" wrapText="1" shrinkToFit="1"/>
    </xf>
    <xf numFmtId="0" fontId="39" fillId="4" borderId="44" xfId="709" applyFont="1" applyFill="1" applyBorder="1" applyAlignment="1">
      <alignment horizontal="left"/>
    </xf>
    <xf numFmtId="0" fontId="39" fillId="4" borderId="47" xfId="709" applyFont="1" applyFill="1" applyBorder="1" applyAlignment="1">
      <alignment horizontal="left"/>
    </xf>
    <xf numFmtId="0" fontId="39" fillId="4" borderId="44" xfId="0" applyFont="1" applyFill="1" applyBorder="1" applyAlignment="1">
      <alignment horizontal="left" vertical="center" wrapText="1" shrinkToFit="1"/>
    </xf>
    <xf numFmtId="0" fontId="39" fillId="4" borderId="47" xfId="0" applyFont="1" applyFill="1" applyBorder="1" applyAlignment="1">
      <alignment horizontal="left" vertical="center" wrapText="1" shrinkToFit="1"/>
    </xf>
    <xf numFmtId="0" fontId="39" fillId="4" borderId="56" xfId="709" applyFont="1" applyFill="1" applyBorder="1" applyAlignment="1">
      <alignment horizontal="left"/>
    </xf>
    <xf numFmtId="0" fontId="39" fillId="4" borderId="48" xfId="709" applyFont="1" applyFill="1" applyBorder="1" applyAlignment="1">
      <alignment horizontal="left"/>
    </xf>
    <xf numFmtId="0" fontId="41" fillId="4" borderId="42" xfId="709" applyFont="1" applyFill="1" applyBorder="1" applyAlignment="1">
      <alignment horizontal="center" vertical="center"/>
    </xf>
    <xf numFmtId="0" fontId="41" fillId="4" borderId="46" xfId="709" applyFont="1" applyFill="1" applyBorder="1" applyAlignment="1">
      <alignment horizontal="center" vertical="center"/>
    </xf>
    <xf numFmtId="0" fontId="41" fillId="4" borderId="16" xfId="709" applyFont="1" applyFill="1" applyBorder="1" applyAlignment="1">
      <alignment horizontal="center" vertical="top"/>
    </xf>
    <xf numFmtId="0" fontId="41" fillId="4" borderId="23" xfId="709" applyFont="1" applyFill="1" applyBorder="1" applyAlignment="1">
      <alignment horizontal="center" vertical="top"/>
    </xf>
    <xf numFmtId="0" fontId="41" fillId="4" borderId="17" xfId="709" applyFont="1" applyFill="1" applyBorder="1" applyAlignment="1">
      <alignment horizontal="center" vertical="top"/>
    </xf>
    <xf numFmtId="0" fontId="39" fillId="12" borderId="51" xfId="709" applyFont="1" applyFill="1" applyBorder="1" applyAlignment="1">
      <alignment horizontal="center"/>
    </xf>
    <xf numFmtId="0" fontId="39" fillId="12" borderId="52" xfId="709" applyFont="1" applyFill="1" applyBorder="1" applyAlignment="1">
      <alignment horizontal="center"/>
    </xf>
    <xf numFmtId="0" fontId="39" fillId="12" borderId="53" xfId="709" applyFont="1" applyFill="1" applyBorder="1" applyAlignment="1">
      <alignment horizontal="center"/>
    </xf>
    <xf numFmtId="0" fontId="36" fillId="12" borderId="51" xfId="709" applyFont="1" applyFill="1" applyBorder="1" applyAlignment="1">
      <alignment horizontal="center"/>
    </xf>
    <xf numFmtId="0" fontId="36" fillId="12" borderId="52" xfId="709" applyFont="1" applyFill="1" applyBorder="1" applyAlignment="1">
      <alignment horizontal="center"/>
    </xf>
    <xf numFmtId="0" fontId="36" fillId="12" borderId="53" xfId="709" applyFont="1" applyFill="1" applyBorder="1" applyAlignment="1">
      <alignment horizontal="center"/>
    </xf>
    <xf numFmtId="0" fontId="13" fillId="4" borderId="13" xfId="0" applyFont="1" applyFill="1" applyBorder="1" applyAlignment="1">
      <alignment horizontal="center" wrapText="1"/>
    </xf>
    <xf numFmtId="0" fontId="13" fillId="4" borderId="14" xfId="0" applyFont="1" applyFill="1" applyBorder="1" applyAlignment="1">
      <alignment horizontal="center" wrapText="1"/>
    </xf>
    <xf numFmtId="0" fontId="13" fillId="4" borderId="15" xfId="0" applyFont="1" applyFill="1" applyBorder="1" applyAlignment="1">
      <alignment horizontal="center" wrapText="1"/>
    </xf>
    <xf numFmtId="0" fontId="14" fillId="4" borderId="54" xfId="0" applyFont="1" applyFill="1" applyBorder="1" applyAlignment="1">
      <alignment horizontal="center" vertical="center"/>
    </xf>
    <xf numFmtId="0" fontId="14" fillId="4" borderId="43" xfId="0" applyFont="1" applyFill="1" applyBorder="1" applyAlignment="1">
      <alignment horizontal="center" vertical="center"/>
    </xf>
    <xf numFmtId="164" fontId="14" fillId="0" borderId="47" xfId="80" applyFont="1" applyBorder="1" applyAlignment="1">
      <alignment horizontal="center" vertical="center"/>
    </xf>
    <xf numFmtId="0" fontId="23" fillId="4" borderId="51" xfId="0" applyFont="1" applyFill="1" applyBorder="1" applyAlignment="1">
      <alignment horizontal="center" vertical="center"/>
    </xf>
    <xf numFmtId="0" fontId="23" fillId="4" borderId="52" xfId="0" applyFont="1" applyFill="1" applyBorder="1" applyAlignment="1">
      <alignment horizontal="center" vertical="center"/>
    </xf>
    <xf numFmtId="0" fontId="23" fillId="4" borderId="53" xfId="0" applyFont="1" applyFill="1" applyBorder="1" applyAlignment="1">
      <alignment horizontal="center" vertical="center"/>
    </xf>
    <xf numFmtId="164" fontId="14" fillId="3" borderId="2" xfId="80" applyFont="1" applyFill="1" applyBorder="1" applyAlignment="1">
      <alignment horizontal="center" vertical="center"/>
    </xf>
    <xf numFmtId="164" fontId="14" fillId="0" borderId="44" xfId="80" applyFont="1" applyBorder="1" applyAlignment="1">
      <alignment horizontal="center" vertical="center"/>
    </xf>
    <xf numFmtId="164" fontId="14" fillId="0" borderId="27" xfId="80" applyFont="1" applyBorder="1" applyAlignment="1">
      <alignment horizontal="center" vertical="center"/>
    </xf>
    <xf numFmtId="164" fontId="14" fillId="0" borderId="41" xfId="80" applyFont="1" applyBorder="1" applyAlignment="1">
      <alignment horizontal="center" vertical="center"/>
    </xf>
    <xf numFmtId="0" fontId="33" fillId="6" borderId="51" xfId="0" applyFont="1" applyFill="1" applyBorder="1" applyAlignment="1">
      <alignment horizontal="left" vertical="center" wrapText="1"/>
    </xf>
    <xf numFmtId="0" fontId="33" fillId="6" borderId="52" xfId="0" applyFont="1" applyFill="1" applyBorder="1" applyAlignment="1">
      <alignment horizontal="left" vertical="center" wrapText="1"/>
    </xf>
    <xf numFmtId="0" fontId="33" fillId="6" borderId="69" xfId="0" applyFont="1" applyFill="1" applyBorder="1" applyAlignment="1">
      <alignment horizontal="left" vertical="center" wrapText="1"/>
    </xf>
    <xf numFmtId="0" fontId="14" fillId="3" borderId="19"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20" fillId="0" borderId="0" xfId="0" applyFont="1" applyBorder="1" applyAlignment="1">
      <alignment horizontal="center"/>
    </xf>
    <xf numFmtId="0" fontId="0" fillId="0" borderId="19" xfId="0" applyBorder="1" applyAlignment="1">
      <alignment horizontal="center"/>
    </xf>
    <xf numFmtId="0" fontId="0" fillId="0" borderId="0" xfId="0" applyAlignment="1">
      <alignment horizontal="center"/>
    </xf>
    <xf numFmtId="0" fontId="3" fillId="0" borderId="19" xfId="0" applyFont="1" applyBorder="1" applyAlignment="1">
      <alignment horizontal="center"/>
    </xf>
    <xf numFmtId="0" fontId="12" fillId="3" borderId="23" xfId="0" applyFont="1" applyFill="1" applyBorder="1" applyAlignment="1">
      <alignment horizontal="left"/>
    </xf>
    <xf numFmtId="0" fontId="20" fillId="0" borderId="0" xfId="0" applyFont="1" applyAlignment="1">
      <alignment horizontal="center"/>
    </xf>
    <xf numFmtId="0" fontId="14" fillId="0" borderId="0" xfId="0" applyNumberFormat="1" applyFont="1" applyBorder="1" applyAlignment="1">
      <alignment horizontal="center"/>
    </xf>
    <xf numFmtId="164" fontId="14" fillId="0" borderId="13" xfId="80" applyFont="1" applyBorder="1" applyAlignment="1">
      <alignment horizontal="center" vertical="center"/>
    </xf>
    <xf numFmtId="164" fontId="14" fillId="0" borderId="15" xfId="80" applyFont="1" applyBorder="1" applyAlignment="1">
      <alignment horizontal="center" vertical="center"/>
    </xf>
    <xf numFmtId="164" fontId="14" fillId="0" borderId="56" xfId="80" applyFont="1" applyBorder="1" applyAlignment="1">
      <alignment horizontal="center" vertical="center"/>
    </xf>
    <xf numFmtId="164" fontId="14" fillId="0" borderId="36" xfId="80" applyFont="1" applyBorder="1" applyAlignment="1">
      <alignment horizontal="center" vertical="center"/>
    </xf>
    <xf numFmtId="164" fontId="14" fillId="0" borderId="51" xfId="80" applyFont="1" applyBorder="1" applyAlignment="1">
      <alignment horizontal="center" vertical="center"/>
    </xf>
    <xf numFmtId="164" fontId="14" fillId="0" borderId="53" xfId="80" applyFont="1" applyBorder="1" applyAlignment="1">
      <alignment horizontal="center" vertical="center"/>
    </xf>
    <xf numFmtId="0" fontId="14" fillId="4" borderId="51" xfId="0" applyFont="1" applyFill="1" applyBorder="1" applyAlignment="1">
      <alignment horizontal="center" vertical="center"/>
    </xf>
    <xf numFmtId="0" fontId="85" fillId="3" borderId="23" xfId="0" applyFont="1" applyFill="1" applyBorder="1" applyAlignment="1">
      <alignment horizontal="left"/>
    </xf>
    <xf numFmtId="0" fontId="17" fillId="4" borderId="21" xfId="0" applyFont="1" applyFill="1" applyBorder="1" applyAlignment="1">
      <alignment horizontal="left" vertical="center" wrapText="1"/>
    </xf>
    <xf numFmtId="0" fontId="17" fillId="4" borderId="24" xfId="0" applyFont="1" applyFill="1" applyBorder="1" applyAlignment="1">
      <alignment horizontal="left" vertical="center" wrapText="1"/>
    </xf>
    <xf numFmtId="0" fontId="17" fillId="4" borderId="22" xfId="0" applyFont="1" applyFill="1" applyBorder="1" applyAlignment="1">
      <alignment horizontal="left" vertical="center" wrapText="1"/>
    </xf>
    <xf numFmtId="0" fontId="21" fillId="0" borderId="0" xfId="0" applyFont="1" applyBorder="1" applyAlignment="1">
      <alignment horizontal="center" vertical="center" wrapText="1"/>
    </xf>
    <xf numFmtId="14" fontId="14" fillId="4" borderId="21" xfId="0" applyNumberFormat="1" applyFont="1" applyFill="1" applyBorder="1" applyAlignment="1">
      <alignment horizontal="center" vertical="center" wrapText="1"/>
    </xf>
    <xf numFmtId="14" fontId="14" fillId="4" borderId="24" xfId="0" applyNumberFormat="1" applyFont="1" applyFill="1" applyBorder="1" applyAlignment="1">
      <alignment horizontal="center" vertical="center" wrapText="1"/>
    </xf>
    <xf numFmtId="14" fontId="14" fillId="4" borderId="22" xfId="0" applyNumberFormat="1" applyFont="1" applyFill="1" applyBorder="1" applyAlignment="1">
      <alignment horizontal="center" vertical="center" wrapText="1"/>
    </xf>
    <xf numFmtId="0" fontId="18" fillId="3" borderId="19" xfId="0" applyFont="1" applyFill="1" applyBorder="1" applyAlignment="1">
      <alignment horizontal="left" vertical="center"/>
    </xf>
    <xf numFmtId="0" fontId="18" fillId="3" borderId="0" xfId="0" applyFont="1" applyFill="1" applyBorder="1" applyAlignment="1">
      <alignment horizontal="left" vertical="center"/>
    </xf>
    <xf numFmtId="0" fontId="18" fillId="3" borderId="70" xfId="0" applyFont="1" applyFill="1" applyBorder="1" applyAlignment="1">
      <alignment horizontal="left" vertical="center"/>
    </xf>
    <xf numFmtId="0" fontId="13" fillId="4" borderId="51" xfId="0" applyFont="1" applyFill="1" applyBorder="1" applyAlignment="1">
      <alignment horizontal="left" vertical="center"/>
    </xf>
    <xf numFmtId="0" fontId="13" fillId="4" borderId="52" xfId="0" applyFont="1" applyFill="1" applyBorder="1" applyAlignment="1">
      <alignment horizontal="left" vertical="center"/>
    </xf>
    <xf numFmtId="0" fontId="13" fillId="4" borderId="61" xfId="0" applyFont="1" applyFill="1" applyBorder="1" applyAlignment="1">
      <alignment horizontal="left" vertical="center"/>
    </xf>
    <xf numFmtId="0" fontId="12" fillId="3" borderId="19" xfId="0" applyFont="1" applyFill="1" applyBorder="1" applyAlignment="1">
      <alignment horizontal="left" vertical="center" wrapText="1"/>
    </xf>
    <xf numFmtId="0" fontId="18" fillId="3" borderId="0" xfId="0" applyFont="1" applyFill="1" applyBorder="1" applyAlignment="1">
      <alignment horizontal="left" vertical="center" wrapText="1"/>
    </xf>
    <xf numFmtId="0" fontId="18" fillId="3" borderId="70" xfId="0" applyFont="1" applyFill="1" applyBorder="1" applyAlignment="1">
      <alignment horizontal="left" vertical="center" wrapText="1"/>
    </xf>
    <xf numFmtId="0" fontId="18" fillId="3" borderId="21" xfId="0" applyFont="1" applyFill="1" applyBorder="1" applyAlignment="1">
      <alignment horizontal="left" vertical="center" wrapText="1"/>
    </xf>
    <xf numFmtId="0" fontId="18" fillId="3" borderId="24" xfId="0" applyFont="1" applyFill="1" applyBorder="1" applyAlignment="1">
      <alignment horizontal="left" vertical="center" wrapText="1"/>
    </xf>
    <xf numFmtId="0" fontId="18" fillId="3" borderId="32" xfId="0" applyFont="1" applyFill="1" applyBorder="1" applyAlignment="1">
      <alignment horizontal="left" vertical="center" wrapText="1"/>
    </xf>
    <xf numFmtId="2" fontId="12" fillId="3" borderId="60" xfId="0" applyNumberFormat="1" applyFont="1" applyFill="1" applyBorder="1" applyAlignment="1">
      <alignment horizontal="center" vertical="center" wrapText="1"/>
    </xf>
    <xf numFmtId="2" fontId="12" fillId="3" borderId="55" xfId="0" applyNumberFormat="1" applyFont="1" applyFill="1" applyBorder="1" applyAlignment="1">
      <alignment horizontal="center" vertical="center" wrapText="1"/>
    </xf>
    <xf numFmtId="4" fontId="20" fillId="0" borderId="0" xfId="0" applyNumberFormat="1" applyFont="1" applyBorder="1" applyAlignment="1">
      <alignment horizontal="center"/>
    </xf>
    <xf numFmtId="0" fontId="14" fillId="4" borderId="42" xfId="0" applyFont="1" applyFill="1" applyBorder="1" applyAlignment="1">
      <alignment horizontal="center" vertical="center"/>
    </xf>
    <xf numFmtId="4" fontId="18" fillId="3" borderId="14" xfId="0" applyNumberFormat="1" applyFont="1" applyFill="1" applyBorder="1" applyAlignment="1">
      <alignment horizontal="center"/>
    </xf>
    <xf numFmtId="4" fontId="18" fillId="3" borderId="15" xfId="0" applyNumberFormat="1" applyFont="1" applyFill="1" applyBorder="1" applyAlignment="1">
      <alignment horizontal="center"/>
    </xf>
    <xf numFmtId="0" fontId="21" fillId="3" borderId="0" xfId="0" applyFont="1" applyFill="1" applyBorder="1" applyAlignment="1">
      <alignment horizontal="center"/>
    </xf>
    <xf numFmtId="4" fontId="18" fillId="3" borderId="2" xfId="0" applyNumberFormat="1" applyFont="1" applyFill="1" applyBorder="1" applyAlignment="1">
      <alignment horizontal="center"/>
    </xf>
    <xf numFmtId="4" fontId="18" fillId="3" borderId="45" xfId="0" applyNumberFormat="1" applyFont="1" applyFill="1" applyBorder="1" applyAlignment="1">
      <alignment horizontal="center"/>
    </xf>
    <xf numFmtId="3" fontId="18" fillId="0" borderId="13" xfId="0" applyNumberFormat="1" applyFont="1" applyBorder="1" applyAlignment="1">
      <alignment horizontal="center"/>
    </xf>
    <xf numFmtId="3" fontId="18" fillId="0" borderId="14" xfId="0" applyNumberFormat="1" applyFont="1" applyBorder="1" applyAlignment="1">
      <alignment horizontal="center"/>
    </xf>
    <xf numFmtId="3" fontId="18" fillId="0" borderId="15" xfId="0" applyNumberFormat="1" applyFont="1" applyBorder="1" applyAlignment="1">
      <alignment horizontal="center"/>
    </xf>
    <xf numFmtId="3" fontId="18" fillId="0" borderId="44" xfId="0" applyNumberFormat="1" applyFont="1" applyBorder="1" applyAlignment="1">
      <alignment horizontal="center"/>
    </xf>
    <xf numFmtId="3" fontId="18" fillId="0" borderId="47" xfId="0" applyNumberFormat="1" applyFont="1" applyBorder="1" applyAlignment="1">
      <alignment horizontal="center"/>
    </xf>
    <xf numFmtId="3" fontId="18" fillId="0" borderId="27" xfId="0" applyNumberFormat="1" applyFont="1" applyBorder="1" applyAlignment="1">
      <alignment horizontal="center"/>
    </xf>
    <xf numFmtId="4" fontId="18" fillId="3" borderId="24" xfId="0" applyNumberFormat="1" applyFont="1" applyFill="1" applyBorder="1" applyAlignment="1">
      <alignment horizontal="center"/>
    </xf>
    <xf numFmtId="4" fontId="18" fillId="3" borderId="22" xfId="0" applyNumberFormat="1" applyFont="1" applyFill="1" applyBorder="1" applyAlignment="1">
      <alignment horizontal="center"/>
    </xf>
    <xf numFmtId="3" fontId="18" fillId="0" borderId="56" xfId="0" applyNumberFormat="1" applyFont="1" applyBorder="1" applyAlignment="1">
      <alignment horizontal="center"/>
    </xf>
    <xf numFmtId="3" fontId="18" fillId="0" borderId="48" xfId="0" applyNumberFormat="1" applyFont="1" applyBorder="1" applyAlignment="1">
      <alignment horizontal="center"/>
    </xf>
    <xf numFmtId="3" fontId="18" fillId="0" borderId="36" xfId="0" applyNumberFormat="1" applyFont="1" applyBorder="1" applyAlignment="1">
      <alignment horizontal="center"/>
    </xf>
    <xf numFmtId="0" fontId="26" fillId="4" borderId="51" xfId="0" applyFont="1" applyFill="1" applyBorder="1" applyAlignment="1">
      <alignment horizontal="center"/>
    </xf>
    <xf numFmtId="0" fontId="26" fillId="4" borderId="52" xfId="0" applyFont="1" applyFill="1" applyBorder="1" applyAlignment="1">
      <alignment horizontal="center"/>
    </xf>
    <xf numFmtId="0" fontId="26" fillId="4" borderId="53" xfId="0" applyFont="1" applyFill="1" applyBorder="1" applyAlignment="1">
      <alignment horizontal="center"/>
    </xf>
    <xf numFmtId="0" fontId="0" fillId="0" borderId="51" xfId="0" applyBorder="1" applyAlignment="1">
      <alignment horizontal="left" vertical="top" wrapText="1"/>
    </xf>
    <xf numFmtId="0" fontId="0" fillId="0" borderId="52" xfId="0" applyBorder="1" applyAlignment="1">
      <alignment horizontal="left" vertical="top" wrapText="1"/>
    </xf>
    <xf numFmtId="0" fontId="0" fillId="0" borderId="53" xfId="0" applyBorder="1" applyAlignment="1">
      <alignment horizontal="left" vertical="top" wrapText="1"/>
    </xf>
    <xf numFmtId="0" fontId="0" fillId="0" borderId="16" xfId="0" applyBorder="1" applyAlignment="1">
      <alignment horizontal="left" vertical="top" wrapText="1"/>
    </xf>
    <xf numFmtId="0" fontId="0" fillId="0" borderId="23" xfId="0" applyBorder="1" applyAlignment="1">
      <alignment horizontal="left" vertical="top" wrapText="1"/>
    </xf>
    <xf numFmtId="0" fontId="0" fillId="0" borderId="17" xfId="0" applyBorder="1" applyAlignment="1">
      <alignment horizontal="left" vertical="top" wrapText="1"/>
    </xf>
    <xf numFmtId="0" fontId="0" fillId="0" borderId="19" xfId="0" applyBorder="1" applyAlignment="1">
      <alignment horizontal="left" vertical="top" wrapText="1"/>
    </xf>
    <xf numFmtId="0" fontId="0" fillId="0" borderId="0"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24" xfId="0" applyBorder="1" applyAlignment="1">
      <alignment horizontal="left" vertical="top" wrapText="1"/>
    </xf>
    <xf numFmtId="0" fontId="0" fillId="0" borderId="22" xfId="0" applyBorder="1" applyAlignment="1">
      <alignment horizontal="left" vertical="top" wrapText="1"/>
    </xf>
    <xf numFmtId="0" fontId="14" fillId="3" borderId="44" xfId="0" applyFont="1" applyFill="1" applyBorder="1" applyAlignment="1">
      <alignment horizontal="left"/>
    </xf>
    <xf numFmtId="0" fontId="14" fillId="3" borderId="47" xfId="0" applyFont="1" applyFill="1" applyBorder="1" applyAlignment="1">
      <alignment horizontal="left"/>
    </xf>
    <xf numFmtId="0" fontId="14" fillId="3" borderId="13" xfId="0" applyFont="1" applyFill="1" applyBorder="1" applyAlignment="1">
      <alignment horizontal="left" vertical="center"/>
    </xf>
    <xf numFmtId="0" fontId="14" fillId="3" borderId="14" xfId="0" applyFont="1" applyFill="1" applyBorder="1" applyAlignment="1">
      <alignment horizontal="left" vertical="center"/>
    </xf>
    <xf numFmtId="0" fontId="13" fillId="4" borderId="51" xfId="0" applyFont="1" applyFill="1" applyBorder="1" applyAlignment="1">
      <alignment horizontal="center" vertical="center" wrapText="1"/>
    </xf>
    <xf numFmtId="0" fontId="13" fillId="4" borderId="53"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17" fillId="4" borderId="24"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21" fillId="4" borderId="13" xfId="0" applyFont="1" applyFill="1" applyBorder="1" applyAlignment="1">
      <alignment horizontal="center"/>
    </xf>
    <xf numFmtId="0" fontId="21" fillId="4" borderId="14" xfId="0" applyFont="1" applyFill="1" applyBorder="1" applyAlignment="1">
      <alignment horizontal="center"/>
    </xf>
    <xf numFmtId="0" fontId="21" fillId="4" borderId="15" xfId="0" applyFont="1" applyFill="1" applyBorder="1" applyAlignment="1">
      <alignment horizontal="center"/>
    </xf>
    <xf numFmtId="14" fontId="18" fillId="3" borderId="44" xfId="0" applyNumberFormat="1" applyFont="1" applyFill="1" applyBorder="1" applyAlignment="1">
      <alignment horizontal="center"/>
    </xf>
    <xf numFmtId="14" fontId="18" fillId="3" borderId="47" xfId="0" applyNumberFormat="1" applyFont="1" applyFill="1" applyBorder="1" applyAlignment="1">
      <alignment horizontal="center"/>
    </xf>
    <xf numFmtId="14" fontId="18" fillId="3" borderId="27" xfId="0" applyNumberFormat="1" applyFont="1" applyFill="1" applyBorder="1" applyAlignment="1">
      <alignment horizontal="center"/>
    </xf>
    <xf numFmtId="0" fontId="52" fillId="3" borderId="0" xfId="0" applyFont="1" applyFill="1" applyBorder="1" applyAlignment="1">
      <alignment horizontal="left" vertical="center" wrapText="1"/>
    </xf>
    <xf numFmtId="0" fontId="13" fillId="4" borderId="52" xfId="0" applyFont="1" applyFill="1" applyBorder="1" applyAlignment="1">
      <alignment horizontal="center" vertical="center" wrapText="1"/>
    </xf>
    <xf numFmtId="0" fontId="14" fillId="3" borderId="15" xfId="0" applyFont="1" applyFill="1" applyBorder="1" applyAlignment="1">
      <alignment horizontal="left" vertical="center"/>
    </xf>
    <xf numFmtId="0" fontId="14" fillId="3" borderId="56" xfId="0" applyFont="1" applyFill="1" applyBorder="1" applyAlignment="1">
      <alignment horizontal="left" vertical="center"/>
    </xf>
    <xf numFmtId="0" fontId="14" fillId="3" borderId="48" xfId="0" applyFont="1" applyFill="1" applyBorder="1" applyAlignment="1">
      <alignment horizontal="left" vertical="center"/>
    </xf>
    <xf numFmtId="0" fontId="14" fillId="3" borderId="36" xfId="0" applyFont="1" applyFill="1" applyBorder="1" applyAlignment="1">
      <alignment horizontal="left" vertical="center"/>
    </xf>
    <xf numFmtId="0" fontId="14" fillId="3" borderId="56" xfId="0" applyFont="1" applyFill="1" applyBorder="1" applyAlignment="1">
      <alignment horizontal="left"/>
    </xf>
    <xf numFmtId="0" fontId="14" fillId="3" borderId="48" xfId="0" applyFont="1" applyFill="1" applyBorder="1" applyAlignment="1">
      <alignment horizontal="left"/>
    </xf>
    <xf numFmtId="0" fontId="14" fillId="3" borderId="44" xfId="0" applyFont="1" applyFill="1" applyBorder="1" applyAlignment="1">
      <alignment horizontal="left" vertical="center"/>
    </xf>
    <xf numFmtId="0" fontId="14" fillId="3" borderId="47" xfId="0" applyFont="1" applyFill="1" applyBorder="1" applyAlignment="1">
      <alignment horizontal="left" vertical="center"/>
    </xf>
    <xf numFmtId="0" fontId="14" fillId="3" borderId="28" xfId="0" applyFont="1" applyFill="1" applyBorder="1" applyAlignment="1">
      <alignment horizontal="left" vertical="center"/>
    </xf>
    <xf numFmtId="0" fontId="14" fillId="3" borderId="29" xfId="0" applyFont="1" applyFill="1" applyBorder="1" applyAlignment="1">
      <alignment horizontal="left" vertical="center"/>
    </xf>
    <xf numFmtId="166" fontId="18" fillId="3" borderId="21" xfId="0" applyNumberFormat="1" applyFont="1" applyFill="1" applyBorder="1" applyAlignment="1">
      <alignment horizontal="center"/>
    </xf>
    <xf numFmtId="166" fontId="18" fillId="3" borderId="24" xfId="0" applyNumberFormat="1" applyFont="1" applyFill="1" applyBorder="1" applyAlignment="1">
      <alignment horizontal="center"/>
    </xf>
    <xf numFmtId="166" fontId="18" fillId="3" borderId="22" xfId="0" applyNumberFormat="1" applyFont="1" applyFill="1" applyBorder="1" applyAlignment="1">
      <alignment horizontal="center"/>
    </xf>
    <xf numFmtId="166" fontId="18" fillId="3" borderId="44" xfId="0" applyNumberFormat="1" applyFont="1" applyFill="1" applyBorder="1" applyAlignment="1">
      <alignment horizontal="center"/>
    </xf>
    <xf numFmtId="166" fontId="18" fillId="3" borderId="47" xfId="0" applyNumberFormat="1" applyFont="1" applyFill="1" applyBorder="1" applyAlignment="1">
      <alignment horizontal="center"/>
    </xf>
    <xf numFmtId="166" fontId="18" fillId="3" borderId="27" xfId="0" applyNumberFormat="1" applyFont="1" applyFill="1" applyBorder="1" applyAlignment="1">
      <alignment horizontal="center"/>
    </xf>
    <xf numFmtId="14" fontId="28" fillId="10" borderId="44" xfId="0" applyNumberFormat="1" applyFont="1" applyFill="1" applyBorder="1" applyAlignment="1">
      <alignment horizontal="center"/>
    </xf>
    <xf numFmtId="14" fontId="28" fillId="10" borderId="47" xfId="0" applyNumberFormat="1" applyFont="1" applyFill="1" applyBorder="1" applyAlignment="1">
      <alignment horizontal="center"/>
    </xf>
    <xf numFmtId="14" fontId="28" fillId="10" borderId="27" xfId="0" applyNumberFormat="1" applyFont="1" applyFill="1" applyBorder="1" applyAlignment="1">
      <alignment horizontal="center"/>
    </xf>
    <xf numFmtId="0" fontId="19" fillId="4" borderId="51" xfId="0" applyFont="1" applyFill="1" applyBorder="1" applyAlignment="1">
      <alignment horizontal="center"/>
    </xf>
    <xf numFmtId="0" fontId="19" fillId="4" borderId="52" xfId="0" applyFont="1" applyFill="1" applyBorder="1" applyAlignment="1">
      <alignment horizontal="center"/>
    </xf>
    <xf numFmtId="0" fontId="19" fillId="4" borderId="53" xfId="0" applyFont="1" applyFill="1" applyBorder="1" applyAlignment="1">
      <alignment horizontal="center"/>
    </xf>
    <xf numFmtId="14" fontId="18" fillId="3" borderId="28" xfId="0" applyNumberFormat="1" applyFont="1" applyFill="1" applyBorder="1" applyAlignment="1">
      <alignment horizontal="center"/>
    </xf>
    <xf numFmtId="14" fontId="18" fillId="3" borderId="29" xfId="0" applyNumberFormat="1" applyFont="1" applyFill="1" applyBorder="1" applyAlignment="1">
      <alignment horizontal="center"/>
    </xf>
    <xf numFmtId="14" fontId="18" fillId="3" borderId="30" xfId="0" applyNumberFormat="1" applyFont="1" applyFill="1" applyBorder="1" applyAlignment="1">
      <alignment horizontal="center"/>
    </xf>
    <xf numFmtId="14" fontId="18" fillId="3" borderId="21" xfId="0" applyNumberFormat="1" applyFont="1" applyFill="1" applyBorder="1" applyAlignment="1">
      <alignment horizontal="center"/>
    </xf>
    <xf numFmtId="14" fontId="18" fillId="3" borderId="24" xfId="0" applyNumberFormat="1" applyFont="1" applyFill="1" applyBorder="1" applyAlignment="1">
      <alignment horizontal="center"/>
    </xf>
    <xf numFmtId="14" fontId="18" fillId="3" borderId="22" xfId="0" applyNumberFormat="1" applyFont="1" applyFill="1" applyBorder="1" applyAlignment="1">
      <alignment horizontal="center"/>
    </xf>
    <xf numFmtId="0" fontId="14" fillId="4" borderId="46" xfId="0" applyFont="1" applyFill="1" applyBorder="1" applyAlignment="1">
      <alignment horizontal="center" vertical="center"/>
    </xf>
    <xf numFmtId="0" fontId="14" fillId="4" borderId="49" xfId="0" applyFont="1" applyFill="1" applyBorder="1" applyAlignment="1">
      <alignment horizontal="center" vertical="center"/>
    </xf>
    <xf numFmtId="0" fontId="14" fillId="4" borderId="50" xfId="0" applyFont="1" applyFill="1" applyBorder="1" applyAlignment="1">
      <alignment horizontal="center" vertical="center"/>
    </xf>
    <xf numFmtId="0" fontId="14" fillId="4" borderId="62" xfId="0" applyFont="1" applyFill="1" applyBorder="1" applyAlignment="1">
      <alignment horizontal="center" vertical="center"/>
    </xf>
    <xf numFmtId="0" fontId="14" fillId="4" borderId="68" xfId="0" applyFont="1" applyFill="1" applyBorder="1" applyAlignment="1">
      <alignment horizontal="center" vertical="center"/>
    </xf>
    <xf numFmtId="0" fontId="35" fillId="4" borderId="51" xfId="0" applyFont="1" applyFill="1" applyBorder="1" applyAlignment="1">
      <alignment horizontal="center" vertical="center"/>
    </xf>
    <xf numFmtId="0" fontId="35" fillId="4" borderId="52" xfId="0" applyFont="1" applyFill="1" applyBorder="1" applyAlignment="1">
      <alignment horizontal="center" vertical="center"/>
    </xf>
    <xf numFmtId="0" fontId="35" fillId="4" borderId="53" xfId="0" applyFont="1" applyFill="1" applyBorder="1" applyAlignment="1">
      <alignment horizontal="center" vertical="center"/>
    </xf>
    <xf numFmtId="0" fontId="10" fillId="0" borderId="16" xfId="0" applyFont="1" applyBorder="1" applyAlignment="1">
      <alignment horizontal="center" vertical="center"/>
    </xf>
    <xf numFmtId="0" fontId="10" fillId="0" borderId="23" xfId="0" applyFont="1" applyBorder="1" applyAlignment="1">
      <alignment horizontal="center" vertical="center"/>
    </xf>
    <xf numFmtId="0" fontId="10" fillId="0" borderId="17" xfId="0" applyFont="1" applyBorder="1" applyAlignment="1">
      <alignment horizontal="center" vertical="center"/>
    </xf>
    <xf numFmtId="0" fontId="10" fillId="0" borderId="19"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2" xfId="0" applyFont="1" applyBorder="1" applyAlignment="1">
      <alignment horizontal="center" vertical="center" wrapText="1"/>
    </xf>
    <xf numFmtId="0" fontId="24" fillId="3" borderId="0" xfId="0" applyFont="1" applyFill="1" applyAlignment="1">
      <alignment horizontal="left"/>
    </xf>
    <xf numFmtId="0" fontId="20" fillId="3" borderId="0" xfId="0" applyFont="1" applyFill="1" applyBorder="1" applyAlignment="1">
      <alignment horizontal="center" wrapText="1"/>
    </xf>
    <xf numFmtId="0" fontId="20" fillId="3" borderId="0" xfId="0" applyFont="1" applyFill="1" applyAlignment="1">
      <alignment horizontal="center" wrapText="1"/>
    </xf>
  </cellXfs>
  <cellStyles count="1471">
    <cellStyle name="1000-sep (2 dec) 2" xfId="773" xr:uid="{00000000-0005-0000-0000-000000000000}"/>
    <cellStyle name="Besøgt link" xfId="2" builtinId="9" hidden="1"/>
    <cellStyle name="Besøgt link" xfId="4" builtinId="9" hidden="1"/>
    <cellStyle name="Besøgt link" xfId="6" builtinId="9" hidden="1"/>
    <cellStyle name="Besøgt link" xfId="8" builtinId="9" hidden="1"/>
    <cellStyle name="Besøgt link" xfId="10" builtinId="9" hidden="1"/>
    <cellStyle name="Besøgt link" xfId="12" builtinId="9" hidden="1"/>
    <cellStyle name="Besøgt link" xfId="14" builtinId="9" hidden="1"/>
    <cellStyle name="Besøgt link" xfId="16" builtinId="9" hidden="1"/>
    <cellStyle name="Besøgt link" xfId="18" builtinId="9" hidden="1"/>
    <cellStyle name="Besøgt link" xfId="20" builtinId="9" hidden="1"/>
    <cellStyle name="Besøgt link" xfId="22" builtinId="9" hidden="1"/>
    <cellStyle name="Besøgt link" xfId="24" builtinId="9" hidden="1"/>
    <cellStyle name="Besøgt link" xfId="26" builtinId="9" hidden="1"/>
    <cellStyle name="Besøgt link" xfId="28" builtinId="9" hidden="1"/>
    <cellStyle name="Besøgt link" xfId="30" builtinId="9" hidden="1"/>
    <cellStyle name="Besøgt link" xfId="32" builtinId="9" hidden="1"/>
    <cellStyle name="Besøgt link" xfId="34" builtinId="9" hidden="1"/>
    <cellStyle name="Besøgt link" xfId="37" builtinId="9" hidden="1"/>
    <cellStyle name="Besøgt link" xfId="39" builtinId="9" hidden="1"/>
    <cellStyle name="Besøgt link" xfId="41" builtinId="9" hidden="1"/>
    <cellStyle name="Besøgt link" xfId="43" builtinId="9" hidden="1"/>
    <cellStyle name="Besøgt link" xfId="45" builtinId="9" hidden="1"/>
    <cellStyle name="Besøgt link" xfId="47" builtinId="9" hidden="1"/>
    <cellStyle name="Besøgt link" xfId="49" builtinId="9" hidden="1"/>
    <cellStyle name="Besøgt link" xfId="51" builtinId="9" hidden="1"/>
    <cellStyle name="Besøgt link" xfId="53" builtinId="9" hidden="1"/>
    <cellStyle name="Besøgt link" xfId="55" builtinId="9" hidden="1"/>
    <cellStyle name="Besøgt link" xfId="57" builtinId="9" hidden="1"/>
    <cellStyle name="Besøgt link" xfId="59" builtinId="9" hidden="1"/>
    <cellStyle name="Besøgt link" xfId="61" builtinId="9" hidden="1"/>
    <cellStyle name="Besøgt link" xfId="63" builtinId="9" hidden="1"/>
    <cellStyle name="Besøgt link" xfId="65" builtinId="9" hidden="1"/>
    <cellStyle name="Besøgt link" xfId="67" builtinId="9" hidden="1"/>
    <cellStyle name="Besøgt link" xfId="69" builtinId="9" hidden="1"/>
    <cellStyle name="Besøgt link" xfId="71" builtinId="9" hidden="1"/>
    <cellStyle name="Besøgt link" xfId="73" builtinId="9" hidden="1"/>
    <cellStyle name="Besøgt link" xfId="75" builtinId="9" hidden="1"/>
    <cellStyle name="Besøgt link" xfId="77" builtinId="9" hidden="1"/>
    <cellStyle name="Besøgt link" xfId="79" builtinId="9" hidden="1"/>
    <cellStyle name="Besøgt link" xfId="82" builtinId="9" hidden="1"/>
    <cellStyle name="Besøgt link" xfId="84" builtinId="9" hidden="1"/>
    <cellStyle name="Besøgt link" xfId="86" builtinId="9" hidden="1"/>
    <cellStyle name="Besøgt link" xfId="88" builtinId="9" hidden="1"/>
    <cellStyle name="Besøgt link" xfId="90" builtinId="9" hidden="1"/>
    <cellStyle name="Besøgt link" xfId="92" builtinId="9" hidden="1"/>
    <cellStyle name="Besøgt link" xfId="94" builtinId="9" hidden="1"/>
    <cellStyle name="Besøgt link" xfId="96" builtinId="9" hidden="1"/>
    <cellStyle name="Besøgt link" xfId="98" builtinId="9" hidden="1"/>
    <cellStyle name="Besøgt link" xfId="100" builtinId="9" hidden="1"/>
    <cellStyle name="Besøgt link" xfId="102" builtinId="9" hidden="1"/>
    <cellStyle name="Besøgt link" xfId="104" builtinId="9" hidden="1"/>
    <cellStyle name="Besøgt link" xfId="106" builtinId="9" hidden="1"/>
    <cellStyle name="Besøgt link" xfId="108" builtinId="9" hidden="1"/>
    <cellStyle name="Besøgt link" xfId="110" builtinId="9" hidden="1"/>
    <cellStyle name="Besøgt link" xfId="112" builtinId="9" hidden="1"/>
    <cellStyle name="Besøgt link" xfId="114" builtinId="9" hidden="1"/>
    <cellStyle name="Besøgt link" xfId="116" builtinId="9" hidden="1"/>
    <cellStyle name="Besøgt link" xfId="118" builtinId="9" hidden="1"/>
    <cellStyle name="Besøgt link" xfId="120" builtinId="9" hidden="1"/>
    <cellStyle name="Besøgt link" xfId="122" builtinId="9" hidden="1"/>
    <cellStyle name="Besøgt link" xfId="124" builtinId="9" hidden="1"/>
    <cellStyle name="Besøgt link" xfId="126" builtinId="9" hidden="1"/>
    <cellStyle name="Besøgt link" xfId="128" builtinId="9" hidden="1"/>
    <cellStyle name="Besøgt link" xfId="130" builtinId="9" hidden="1"/>
    <cellStyle name="Besøgt link" xfId="132" builtinId="9" hidden="1"/>
    <cellStyle name="Besøgt link" xfId="134" builtinId="9" hidden="1"/>
    <cellStyle name="Besøgt link" xfId="136" builtinId="9" hidden="1"/>
    <cellStyle name="Besøgt link" xfId="138" builtinId="9" hidden="1"/>
    <cellStyle name="Besøgt link" xfId="140" builtinId="9" hidden="1"/>
    <cellStyle name="Besøgt link" xfId="142" builtinId="9" hidden="1"/>
    <cellStyle name="Besøgt link" xfId="144" builtinId="9" hidden="1"/>
    <cellStyle name="Besøgt link" xfId="146" builtinId="9" hidden="1"/>
    <cellStyle name="Besøgt link" xfId="148" builtinId="9" hidden="1"/>
    <cellStyle name="Besøgt link" xfId="150" builtinId="9" hidden="1"/>
    <cellStyle name="Besøgt link" xfId="152" builtinId="9" hidden="1"/>
    <cellStyle name="Besøgt link" xfId="154" builtinId="9" hidden="1"/>
    <cellStyle name="Besøgt link" xfId="156" builtinId="9" hidden="1"/>
    <cellStyle name="Besøgt link" xfId="158" builtinId="9" hidden="1"/>
    <cellStyle name="Besøgt link" xfId="160" builtinId="9" hidden="1"/>
    <cellStyle name="Besøgt link" xfId="162" builtinId="9" hidden="1"/>
    <cellStyle name="Besøgt link" xfId="164" builtinId="9" hidden="1"/>
    <cellStyle name="Besøgt link" xfId="166" builtinId="9" hidden="1"/>
    <cellStyle name="Besøgt link" xfId="168" builtinId="9" hidden="1"/>
    <cellStyle name="Besøgt link" xfId="170" builtinId="9" hidden="1"/>
    <cellStyle name="Besøgt link" xfId="172" builtinId="9" hidden="1"/>
    <cellStyle name="Besøgt link" xfId="174" builtinId="9" hidden="1"/>
    <cellStyle name="Besøgt link" xfId="176" builtinId="9" hidden="1"/>
    <cellStyle name="Besøgt link" xfId="178" builtinId="9" hidden="1"/>
    <cellStyle name="Besøgt link" xfId="180" builtinId="9" hidden="1"/>
    <cellStyle name="Besøgt link" xfId="182" builtinId="9" hidden="1"/>
    <cellStyle name="Besøgt link" xfId="184" builtinId="9" hidden="1"/>
    <cellStyle name="Besøgt link" xfId="186" builtinId="9" hidden="1"/>
    <cellStyle name="Besøgt link" xfId="188" builtinId="9" hidden="1"/>
    <cellStyle name="Besøgt link" xfId="190" builtinId="9" hidden="1"/>
    <cellStyle name="Besøgt link" xfId="192" builtinId="9" hidden="1"/>
    <cellStyle name="Besøgt link" xfId="194" builtinId="9" hidden="1"/>
    <cellStyle name="Besøgt link" xfId="196" builtinId="9" hidden="1"/>
    <cellStyle name="Besøgt link" xfId="198" builtinId="9" hidden="1"/>
    <cellStyle name="Besøgt link" xfId="200" builtinId="9" hidden="1"/>
    <cellStyle name="Besøgt link" xfId="202" builtinId="9" hidden="1"/>
    <cellStyle name="Besøgt link" xfId="204" builtinId="9" hidden="1"/>
    <cellStyle name="Besøgt link" xfId="206" builtinId="9" hidden="1"/>
    <cellStyle name="Besøgt link" xfId="208" builtinId="9" hidden="1"/>
    <cellStyle name="Besøgt link" xfId="210" builtinId="9" hidden="1"/>
    <cellStyle name="Besøgt link" xfId="212" builtinId="9" hidden="1"/>
    <cellStyle name="Besøgt link" xfId="214" builtinId="9" hidden="1"/>
    <cellStyle name="Besøgt link" xfId="216" builtinId="9" hidden="1"/>
    <cellStyle name="Besøgt link" xfId="218" builtinId="9" hidden="1"/>
    <cellStyle name="Besøgt link" xfId="220" builtinId="9" hidden="1"/>
    <cellStyle name="Besøgt link" xfId="222" builtinId="9" hidden="1"/>
    <cellStyle name="Besøgt link" xfId="224" builtinId="9" hidden="1"/>
    <cellStyle name="Besøgt link" xfId="226" builtinId="9" hidden="1"/>
    <cellStyle name="Besøgt link" xfId="228" builtinId="9" hidden="1"/>
    <cellStyle name="Besøgt link" xfId="230" builtinId="9" hidden="1"/>
    <cellStyle name="Besøgt link" xfId="232" builtinId="9" hidden="1"/>
    <cellStyle name="Besøgt link" xfId="234" builtinId="9" hidden="1"/>
    <cellStyle name="Besøgt link" xfId="236" builtinId="9" hidden="1"/>
    <cellStyle name="Besøgt link" xfId="238" builtinId="9" hidden="1"/>
    <cellStyle name="Besøgt link" xfId="240" builtinId="9" hidden="1"/>
    <cellStyle name="Besøgt link" xfId="242" builtinId="9" hidden="1"/>
    <cellStyle name="Besøgt link" xfId="244" builtinId="9" hidden="1"/>
    <cellStyle name="Besøgt link" xfId="246" builtinId="9" hidden="1"/>
    <cellStyle name="Besøgt link" xfId="248" builtinId="9" hidden="1"/>
    <cellStyle name="Besøgt link" xfId="250" builtinId="9" hidden="1"/>
    <cellStyle name="Besøgt link" xfId="252" builtinId="9" hidden="1"/>
    <cellStyle name="Besøgt link" xfId="254" builtinId="9" hidden="1"/>
    <cellStyle name="Besøgt link" xfId="256" builtinId="9" hidden="1"/>
    <cellStyle name="Besøgt link" xfId="258" builtinId="9" hidden="1"/>
    <cellStyle name="Besøgt link" xfId="260" builtinId="9" hidden="1"/>
    <cellStyle name="Besøgt link" xfId="262" builtinId="9" hidden="1"/>
    <cellStyle name="Besøgt link" xfId="264" builtinId="9" hidden="1"/>
    <cellStyle name="Besøgt link" xfId="266" builtinId="9" hidden="1"/>
    <cellStyle name="Besøgt link" xfId="268" builtinId="9" hidden="1"/>
    <cellStyle name="Besøgt link" xfId="270" builtinId="9" hidden="1"/>
    <cellStyle name="Besøgt link" xfId="272" builtinId="9" hidden="1"/>
    <cellStyle name="Besøgt link" xfId="274" builtinId="9" hidden="1"/>
    <cellStyle name="Besøgt link" xfId="276" builtinId="9" hidden="1"/>
    <cellStyle name="Besøgt link" xfId="278" builtinId="9" hidden="1"/>
    <cellStyle name="Besøgt link" xfId="280" builtinId="9" hidden="1"/>
    <cellStyle name="Besøgt link" xfId="282" builtinId="9" hidden="1"/>
    <cellStyle name="Besøgt link" xfId="284" builtinId="9" hidden="1"/>
    <cellStyle name="Besøgt link" xfId="286" builtinId="9" hidden="1"/>
    <cellStyle name="Besøgt link" xfId="288" builtinId="9" hidden="1"/>
    <cellStyle name="Besøgt link" xfId="290" builtinId="9" hidden="1"/>
    <cellStyle name="Besøgt link" xfId="292" builtinId="9" hidden="1"/>
    <cellStyle name="Besøgt link" xfId="294" builtinId="9" hidden="1"/>
    <cellStyle name="Besøgt link" xfId="296" builtinId="9" hidden="1"/>
    <cellStyle name="Besøgt link" xfId="298" builtinId="9" hidden="1"/>
    <cellStyle name="Besøgt link" xfId="300" builtinId="9" hidden="1"/>
    <cellStyle name="Besøgt link" xfId="302" builtinId="9" hidden="1"/>
    <cellStyle name="Besøgt link" xfId="304" builtinId="9" hidden="1"/>
    <cellStyle name="Besøgt link" xfId="306" builtinId="9" hidden="1"/>
    <cellStyle name="Besøgt link" xfId="308" builtinId="9" hidden="1"/>
    <cellStyle name="Besøgt link" xfId="310" builtinId="9" hidden="1"/>
    <cellStyle name="Besøgt link" xfId="312" builtinId="9" hidden="1"/>
    <cellStyle name="Besøgt link" xfId="314" builtinId="9" hidden="1"/>
    <cellStyle name="Besøgt link" xfId="316" builtinId="9" hidden="1"/>
    <cellStyle name="Besøgt link" xfId="318" builtinId="9" hidden="1"/>
    <cellStyle name="Besøgt link" xfId="320" builtinId="9" hidden="1"/>
    <cellStyle name="Besøgt link" xfId="322" builtinId="9" hidden="1"/>
    <cellStyle name="Besøgt link" xfId="324" builtinId="9" hidden="1"/>
    <cellStyle name="Besøgt link" xfId="326" builtinId="9" hidden="1"/>
    <cellStyle name="Besøgt link" xfId="328" builtinId="9" hidden="1"/>
    <cellStyle name="Besøgt link" xfId="330" builtinId="9" hidden="1"/>
    <cellStyle name="Besøgt link" xfId="332" builtinId="9" hidden="1"/>
    <cellStyle name="Besøgt link" xfId="334" builtinId="9" hidden="1"/>
    <cellStyle name="Besøgt link" xfId="336" builtinId="9" hidden="1"/>
    <cellStyle name="Besøgt link" xfId="338" builtinId="9" hidden="1"/>
    <cellStyle name="Besøgt link" xfId="340" builtinId="9" hidden="1"/>
    <cellStyle name="Besøgt link" xfId="342" builtinId="9" hidden="1"/>
    <cellStyle name="Besøgt link" xfId="344" builtinId="9" hidden="1"/>
    <cellStyle name="Besøgt link" xfId="346" builtinId="9" hidden="1"/>
    <cellStyle name="Besøgt link" xfId="348" builtinId="9" hidden="1"/>
    <cellStyle name="Besøgt link" xfId="350" builtinId="9" hidden="1"/>
    <cellStyle name="Besøgt link" xfId="352" builtinId="9" hidden="1"/>
    <cellStyle name="Besøgt link" xfId="354" builtinId="9" hidden="1"/>
    <cellStyle name="Besøgt link" xfId="356" builtinId="9" hidden="1"/>
    <cellStyle name="Besøgt link" xfId="358" builtinId="9" hidden="1"/>
    <cellStyle name="Besøgt link" xfId="360" builtinId="9" hidden="1"/>
    <cellStyle name="Besøgt link" xfId="362" builtinId="9" hidden="1"/>
    <cellStyle name="Besøgt link" xfId="364" builtinId="9" hidden="1"/>
    <cellStyle name="Besøgt link" xfId="366" builtinId="9" hidden="1"/>
    <cellStyle name="Besøgt link" xfId="368" builtinId="9" hidden="1"/>
    <cellStyle name="Besøgt link" xfId="370" builtinId="9" hidden="1"/>
    <cellStyle name="Besøgt link" xfId="372" builtinId="9" hidden="1"/>
    <cellStyle name="Besøgt link" xfId="374" builtinId="9" hidden="1"/>
    <cellStyle name="Besøgt link" xfId="376" builtinId="9" hidden="1"/>
    <cellStyle name="Besøgt link" xfId="378" builtinId="9" hidden="1"/>
    <cellStyle name="Besøgt link" xfId="380" builtinId="9" hidden="1"/>
    <cellStyle name="Besøgt link" xfId="382" builtinId="9" hidden="1"/>
    <cellStyle name="Besøgt link" xfId="384" builtinId="9" hidden="1"/>
    <cellStyle name="Besøgt link" xfId="386" builtinId="9" hidden="1"/>
    <cellStyle name="Besøgt link" xfId="388" builtinId="9" hidden="1"/>
    <cellStyle name="Besøgt link" xfId="390" builtinId="9" hidden="1"/>
    <cellStyle name="Besøgt link" xfId="392" builtinId="9" hidden="1"/>
    <cellStyle name="Besøgt link" xfId="394" builtinId="9" hidden="1"/>
    <cellStyle name="Besøgt link" xfId="396" builtinId="9" hidden="1"/>
    <cellStyle name="Besøgt link" xfId="398" builtinId="9" hidden="1"/>
    <cellStyle name="Besøgt link" xfId="400" builtinId="9" hidden="1"/>
    <cellStyle name="Besøgt link" xfId="402" builtinId="9" hidden="1"/>
    <cellStyle name="Besøgt link" xfId="404" builtinId="9" hidden="1"/>
    <cellStyle name="Besøgt link" xfId="406" builtinId="9" hidden="1"/>
    <cellStyle name="Besøgt link" xfId="408" builtinId="9" hidden="1"/>
    <cellStyle name="Besøgt link" xfId="410" builtinId="9" hidden="1"/>
    <cellStyle name="Besøgt link" xfId="412" builtinId="9" hidden="1"/>
    <cellStyle name="Besøgt link" xfId="414" builtinId="9" hidden="1"/>
    <cellStyle name="Besøgt link" xfId="416" builtinId="9" hidden="1"/>
    <cellStyle name="Besøgt link" xfId="418" builtinId="9" hidden="1"/>
    <cellStyle name="Besøgt link" xfId="420" builtinId="9" hidden="1"/>
    <cellStyle name="Besøgt link" xfId="422" builtinId="9" hidden="1"/>
    <cellStyle name="Besøgt link" xfId="424" builtinId="9" hidden="1"/>
    <cellStyle name="Besøgt link" xfId="426" builtinId="9" hidden="1"/>
    <cellStyle name="Besøgt link" xfId="428" builtinId="9" hidden="1"/>
    <cellStyle name="Besøgt link" xfId="430" builtinId="9" hidden="1"/>
    <cellStyle name="Besøgt link" xfId="432" builtinId="9" hidden="1"/>
    <cellStyle name="Besøgt link" xfId="434" builtinId="9" hidden="1"/>
    <cellStyle name="Besøgt link" xfId="436" builtinId="9" hidden="1"/>
    <cellStyle name="Besøgt link" xfId="438" builtinId="9" hidden="1"/>
    <cellStyle name="Besøgt link" xfId="440" builtinId="9" hidden="1"/>
    <cellStyle name="Besøgt link" xfId="442" builtinId="9" hidden="1"/>
    <cellStyle name="Besøgt link" xfId="444" builtinId="9" hidden="1"/>
    <cellStyle name="Besøgt link" xfId="446" builtinId="9" hidden="1"/>
    <cellStyle name="Besøgt link" xfId="448" builtinId="9" hidden="1"/>
    <cellStyle name="Besøgt link" xfId="450" builtinId="9" hidden="1"/>
    <cellStyle name="Besøgt link" xfId="452" builtinId="9" hidden="1"/>
    <cellStyle name="Besøgt link" xfId="454" builtinId="9" hidden="1"/>
    <cellStyle name="Besøgt link" xfId="456" builtinId="9" hidden="1"/>
    <cellStyle name="Besøgt link" xfId="458" builtinId="9" hidden="1"/>
    <cellStyle name="Besøgt link" xfId="460" builtinId="9" hidden="1"/>
    <cellStyle name="Besøgt link" xfId="462" builtinId="9" hidden="1"/>
    <cellStyle name="Besøgt link" xfId="464" builtinId="9" hidden="1"/>
    <cellStyle name="Besøgt link" xfId="466" builtinId="9" hidden="1"/>
    <cellStyle name="Besøgt link" xfId="468" builtinId="9" hidden="1"/>
    <cellStyle name="Besøgt link" xfId="470" builtinId="9" hidden="1"/>
    <cellStyle name="Besøgt link" xfId="472" builtinId="9" hidden="1"/>
    <cellStyle name="Besøgt link" xfId="474" builtinId="9" hidden="1"/>
    <cellStyle name="Besøgt link" xfId="476" builtinId="9" hidden="1"/>
    <cellStyle name="Besøgt link" xfId="478" builtinId="9" hidden="1"/>
    <cellStyle name="Besøgt link" xfId="480" builtinId="9" hidden="1"/>
    <cellStyle name="Besøgt link" xfId="482" builtinId="9" hidden="1"/>
    <cellStyle name="Besøgt link" xfId="484" builtinId="9" hidden="1"/>
    <cellStyle name="Besøgt link" xfId="486" builtinId="9" hidden="1"/>
    <cellStyle name="Besøgt link" xfId="488" builtinId="9" hidden="1"/>
    <cellStyle name="Besøgt link" xfId="490" builtinId="9" hidden="1"/>
    <cellStyle name="Besøgt link" xfId="492" builtinId="9" hidden="1"/>
    <cellStyle name="Besøgt link" xfId="494" builtinId="9" hidden="1"/>
    <cellStyle name="Besøgt link" xfId="496" builtinId="9" hidden="1"/>
    <cellStyle name="Besøgt link" xfId="498" builtinId="9" hidden="1"/>
    <cellStyle name="Besøgt link" xfId="500" builtinId="9" hidden="1"/>
    <cellStyle name="Besøgt link" xfId="502" builtinId="9" hidden="1"/>
    <cellStyle name="Besøgt link" xfId="504" builtinId="9" hidden="1"/>
    <cellStyle name="Besøgt link" xfId="506" builtinId="9" hidden="1"/>
    <cellStyle name="Besøgt link" xfId="508" builtinId="9" hidden="1"/>
    <cellStyle name="Besøgt link" xfId="510" builtinId="9" hidden="1"/>
    <cellStyle name="Besøgt link" xfId="512" builtinId="9" hidden="1"/>
    <cellStyle name="Besøgt link" xfId="514" builtinId="9" hidden="1"/>
    <cellStyle name="Besøgt link" xfId="516" builtinId="9" hidden="1"/>
    <cellStyle name="Besøgt link" xfId="518" builtinId="9" hidden="1"/>
    <cellStyle name="Besøgt link" xfId="520" builtinId="9" hidden="1"/>
    <cellStyle name="Besøgt link" xfId="522" builtinId="9" hidden="1"/>
    <cellStyle name="Besøgt link" xfId="524" builtinId="9" hidden="1"/>
    <cellStyle name="Besøgt link" xfId="526" builtinId="9" hidden="1"/>
    <cellStyle name="Besøgt link" xfId="528" builtinId="9" hidden="1"/>
    <cellStyle name="Besøgt link" xfId="530" builtinId="9" hidden="1"/>
    <cellStyle name="Besøgt link" xfId="532" builtinId="9" hidden="1"/>
    <cellStyle name="Besøgt link" xfId="534" builtinId="9" hidden="1"/>
    <cellStyle name="Besøgt link" xfId="536" builtinId="9" hidden="1"/>
    <cellStyle name="Besøgt link" xfId="538" builtinId="9" hidden="1"/>
    <cellStyle name="Besøgt link" xfId="540" builtinId="9" hidden="1"/>
    <cellStyle name="Besøgt link" xfId="542" builtinId="9" hidden="1"/>
    <cellStyle name="Besøgt link" xfId="544" builtinId="9" hidden="1"/>
    <cellStyle name="Besøgt link" xfId="546" builtinId="9" hidden="1"/>
    <cellStyle name="Besøgt link" xfId="548" builtinId="9" hidden="1"/>
    <cellStyle name="Besøgt link" xfId="550" builtinId="9" hidden="1"/>
    <cellStyle name="Besøgt link" xfId="552" builtinId="9" hidden="1"/>
    <cellStyle name="Besøgt link" xfId="554" builtinId="9" hidden="1"/>
    <cellStyle name="Besøgt link" xfId="556" builtinId="9" hidden="1"/>
    <cellStyle name="Besøgt link" xfId="558" builtinId="9" hidden="1"/>
    <cellStyle name="Besøgt link" xfId="560" builtinId="9" hidden="1"/>
    <cellStyle name="Besøgt link" xfId="562" builtinId="9" hidden="1"/>
    <cellStyle name="Besøgt link" xfId="564" builtinId="9" hidden="1"/>
    <cellStyle name="Besøgt link" xfId="566" builtinId="9" hidden="1"/>
    <cellStyle name="Besøgt link" xfId="568" builtinId="9" hidden="1"/>
    <cellStyle name="Besøgt link" xfId="570" builtinId="9" hidden="1"/>
    <cellStyle name="Besøgt link" xfId="572" builtinId="9" hidden="1"/>
    <cellStyle name="Besøgt link" xfId="574" builtinId="9" hidden="1"/>
    <cellStyle name="Besøgt link" xfId="576" builtinId="9" hidden="1"/>
    <cellStyle name="Besøgt link" xfId="578" builtinId="9" hidden="1"/>
    <cellStyle name="Besøgt link" xfId="580" builtinId="9" hidden="1"/>
    <cellStyle name="Besøgt link" xfId="582" builtinId="9" hidden="1"/>
    <cellStyle name="Besøgt link" xfId="584" builtinId="9" hidden="1"/>
    <cellStyle name="Besøgt link" xfId="586" builtinId="9" hidden="1"/>
    <cellStyle name="Besøgt link" xfId="588" builtinId="9" hidden="1"/>
    <cellStyle name="Besøgt link" xfId="590" builtinId="9" hidden="1"/>
    <cellStyle name="Besøgt link" xfId="592" builtinId="9" hidden="1"/>
    <cellStyle name="Besøgt link" xfId="594" builtinId="9" hidden="1"/>
    <cellStyle name="Besøgt link" xfId="596" builtinId="9" hidden="1"/>
    <cellStyle name="Besøgt link" xfId="598" builtinId="9" hidden="1"/>
    <cellStyle name="Besøgt link" xfId="600" builtinId="9" hidden="1"/>
    <cellStyle name="Besøgt link" xfId="602" builtinId="9" hidden="1"/>
    <cellStyle name="Besøgt link" xfId="604" builtinId="9" hidden="1"/>
    <cellStyle name="Besøgt link" xfId="606" builtinId="9" hidden="1"/>
    <cellStyle name="Besøgt link" xfId="608" builtinId="9" hidden="1"/>
    <cellStyle name="Besøgt link" xfId="610" builtinId="9" hidden="1"/>
    <cellStyle name="Besøgt link" xfId="612" builtinId="9" hidden="1"/>
    <cellStyle name="Besøgt link" xfId="614" builtinId="9" hidden="1"/>
    <cellStyle name="Besøgt link" xfId="616" builtinId="9" hidden="1"/>
    <cellStyle name="Besøgt link" xfId="618" builtinId="9" hidden="1"/>
    <cellStyle name="Besøgt link" xfId="620" builtinId="9" hidden="1"/>
    <cellStyle name="Besøgt link" xfId="622" builtinId="9" hidden="1"/>
    <cellStyle name="Besøgt link" xfId="624" builtinId="9" hidden="1"/>
    <cellStyle name="Besøgt link" xfId="626" builtinId="9" hidden="1"/>
    <cellStyle name="Besøgt link" xfId="628" builtinId="9" hidden="1"/>
    <cellStyle name="Besøgt link" xfId="630" builtinId="9" hidden="1"/>
    <cellStyle name="Besøgt link" xfId="632" builtinId="9" hidden="1"/>
    <cellStyle name="Besøgt link" xfId="634" builtinId="9" hidden="1"/>
    <cellStyle name="Besøgt link" xfId="636" builtinId="9" hidden="1"/>
    <cellStyle name="Besøgt link" xfId="638" builtinId="9" hidden="1"/>
    <cellStyle name="Besøgt link" xfId="640" builtinId="9" hidden="1"/>
    <cellStyle name="Besøgt link" xfId="642" builtinId="9" hidden="1"/>
    <cellStyle name="Besøgt link" xfId="644" builtinId="9" hidden="1"/>
    <cellStyle name="Besøgt link" xfId="646" builtinId="9" hidden="1"/>
    <cellStyle name="Besøgt link" xfId="648" builtinId="9" hidden="1"/>
    <cellStyle name="Besøgt link" xfId="650" builtinId="9" hidden="1"/>
    <cellStyle name="Besøgt link" xfId="652" builtinId="9" hidden="1"/>
    <cellStyle name="Besøgt link" xfId="654" builtinId="9" hidden="1"/>
    <cellStyle name="Besøgt link" xfId="656" builtinId="9" hidden="1"/>
    <cellStyle name="Besøgt link" xfId="658" builtinId="9" hidden="1"/>
    <cellStyle name="Besøgt link" xfId="660" builtinId="9" hidden="1"/>
    <cellStyle name="Besøgt link" xfId="662" builtinId="9" hidden="1"/>
    <cellStyle name="Besøgt link" xfId="664" builtinId="9" hidden="1"/>
    <cellStyle name="Besøgt link" xfId="666" builtinId="9" hidden="1"/>
    <cellStyle name="Besøgt link" xfId="668" builtinId="9" hidden="1"/>
    <cellStyle name="Besøgt link" xfId="670" builtinId="9" hidden="1"/>
    <cellStyle name="Besøgt link" xfId="672" builtinId="9" hidden="1"/>
    <cellStyle name="Besøgt link" xfId="674" builtinId="9" hidden="1"/>
    <cellStyle name="Besøgt link" xfId="676" builtinId="9" hidden="1"/>
    <cellStyle name="Besøgt link" xfId="678" builtinId="9" hidden="1"/>
    <cellStyle name="Besøgt link" xfId="680" builtinId="9" hidden="1"/>
    <cellStyle name="Besøgt link" xfId="682" builtinId="9" hidden="1"/>
    <cellStyle name="Besøgt link" xfId="684" builtinId="9" hidden="1"/>
    <cellStyle name="Besøgt link" xfId="686" builtinId="9" hidden="1"/>
    <cellStyle name="Besøgt link" xfId="688" builtinId="9" hidden="1"/>
    <cellStyle name="Besøgt link" xfId="690" builtinId="9" hidden="1"/>
    <cellStyle name="Besøgt link" xfId="692" builtinId="9" hidden="1"/>
    <cellStyle name="Besøgt link" xfId="694" builtinId="9" hidden="1"/>
    <cellStyle name="Besøgt link" xfId="696" builtinId="9" hidden="1"/>
    <cellStyle name="Besøgt link" xfId="698" builtinId="9" hidden="1"/>
    <cellStyle name="Besøgt link" xfId="700" builtinId="9" hidden="1"/>
    <cellStyle name="Besøgt link" xfId="702" builtinId="9" hidden="1"/>
    <cellStyle name="Besøgt link" xfId="704" builtinId="9" hidden="1"/>
    <cellStyle name="Besøgt link" xfId="706" builtinId="9" hidden="1"/>
    <cellStyle name="Besøgt link" xfId="708" builtinId="9" hidden="1"/>
    <cellStyle name="Besøgt link" xfId="711" builtinId="9" hidden="1"/>
    <cellStyle name="Besøgt link" xfId="713" builtinId="9" hidden="1"/>
    <cellStyle name="Besøgt link" xfId="715" builtinId="9" hidden="1"/>
    <cellStyle name="Besøgt link" xfId="717" builtinId="9" hidden="1"/>
    <cellStyle name="Besøgt link" xfId="719" builtinId="9" hidden="1"/>
    <cellStyle name="Besøgt link" xfId="721" builtinId="9" hidden="1"/>
    <cellStyle name="Besøgt link" xfId="723" builtinId="9" hidden="1"/>
    <cellStyle name="Besøgt link" xfId="725" builtinId="9" hidden="1"/>
    <cellStyle name="Besøgt link" xfId="727" builtinId="9" hidden="1"/>
    <cellStyle name="Besøgt link" xfId="729" builtinId="9" hidden="1"/>
    <cellStyle name="Besøgt link" xfId="731" builtinId="9" hidden="1"/>
    <cellStyle name="Besøgt link" xfId="733" builtinId="9" hidden="1"/>
    <cellStyle name="Besøgt link" xfId="735" builtinId="9" hidden="1"/>
    <cellStyle name="Besøgt link" xfId="737" builtinId="9" hidden="1"/>
    <cellStyle name="Besøgt link" xfId="739" builtinId="9" hidden="1"/>
    <cellStyle name="Besøgt link" xfId="741" builtinId="9" hidden="1"/>
    <cellStyle name="Besøgt link" xfId="743" builtinId="9" hidden="1"/>
    <cellStyle name="Besøgt link" xfId="745" builtinId="9" hidden="1"/>
    <cellStyle name="Besøgt link" xfId="747" builtinId="9" hidden="1"/>
    <cellStyle name="Besøgt link" xfId="749" builtinId="9" hidden="1"/>
    <cellStyle name="Besøgt link" xfId="751" builtinId="9" hidden="1"/>
    <cellStyle name="Besøgt link" xfId="753" builtinId="9" hidden="1"/>
    <cellStyle name="Besøgt link" xfId="755" builtinId="9" hidden="1"/>
    <cellStyle name="Besøgt link" xfId="757" builtinId="9" hidden="1"/>
    <cellStyle name="Besøgt link" xfId="759" builtinId="9" hidden="1"/>
    <cellStyle name="Besøgt link" xfId="761" builtinId="9" hidden="1"/>
    <cellStyle name="Besøgt link" xfId="763" builtinId="9" hidden="1"/>
    <cellStyle name="Besøgt link" xfId="765" builtinId="9" hidden="1"/>
    <cellStyle name="Besøgt link" xfId="767" builtinId="9" hidden="1"/>
    <cellStyle name="Besøgt link" xfId="769" builtinId="9" hidden="1"/>
    <cellStyle name="Besøgt link" xfId="771" builtinId="9" hidden="1"/>
    <cellStyle name="Besøgt link" xfId="777" builtinId="9" hidden="1"/>
    <cellStyle name="Besøgt link" xfId="779" builtinId="9" hidden="1"/>
    <cellStyle name="Besøgt link" xfId="781" builtinId="9" hidden="1"/>
    <cellStyle name="Besøgt link" xfId="783" builtinId="9" hidden="1"/>
    <cellStyle name="Besøgt link" xfId="785" builtinId="9" hidden="1"/>
    <cellStyle name="Besøgt link" xfId="787" builtinId="9" hidden="1"/>
    <cellStyle name="Besøgt link" xfId="789" builtinId="9" hidden="1"/>
    <cellStyle name="Besøgt link" xfId="791" builtinId="9" hidden="1"/>
    <cellStyle name="Besøgt link" xfId="793" builtinId="9" hidden="1"/>
    <cellStyle name="Besøgt link" xfId="795" builtinId="9" hidden="1"/>
    <cellStyle name="Besøgt link" xfId="797" builtinId="9" hidden="1"/>
    <cellStyle name="Besøgt link" xfId="799" builtinId="9" hidden="1"/>
    <cellStyle name="Besøgt link" xfId="801" builtinId="9" hidden="1"/>
    <cellStyle name="Besøgt link" xfId="803" builtinId="9" hidden="1"/>
    <cellStyle name="Besøgt link" xfId="805" builtinId="9" hidden="1"/>
    <cellStyle name="Besøgt link" xfId="807" builtinId="9" hidden="1"/>
    <cellStyle name="Besøgt link" xfId="809" builtinId="9" hidden="1"/>
    <cellStyle name="Besøgt link" xfId="811" builtinId="9" hidden="1"/>
    <cellStyle name="Besøgt link" xfId="813" builtinId="9" hidden="1"/>
    <cellStyle name="Besøgt link" xfId="815" builtinId="9" hidden="1"/>
    <cellStyle name="Besøgt link" xfId="817" builtinId="9" hidden="1"/>
    <cellStyle name="Besøgt link" xfId="819" builtinId="9" hidden="1"/>
    <cellStyle name="Besøgt link" xfId="821" builtinId="9" hidden="1"/>
    <cellStyle name="Besøgt link" xfId="823" builtinId="9" hidden="1"/>
    <cellStyle name="Besøgt link" xfId="825" builtinId="9" hidden="1"/>
    <cellStyle name="Besøgt link" xfId="827" builtinId="9" hidden="1"/>
    <cellStyle name="Besøgt link" xfId="829" builtinId="9" hidden="1"/>
    <cellStyle name="Besøgt link" xfId="831" builtinId="9" hidden="1"/>
    <cellStyle name="Besøgt link" xfId="833" builtinId="9" hidden="1"/>
    <cellStyle name="Besøgt link" xfId="835" builtinId="9" hidden="1"/>
    <cellStyle name="Besøgt link" xfId="837" builtinId="9" hidden="1"/>
    <cellStyle name="Besøgt link" xfId="839" builtinId="9" hidden="1"/>
    <cellStyle name="Besøgt link" xfId="841" builtinId="9" hidden="1"/>
    <cellStyle name="Besøgt link" xfId="843" builtinId="9" hidden="1"/>
    <cellStyle name="Besøgt link" xfId="845" builtinId="9" hidden="1"/>
    <cellStyle name="Besøgt link" xfId="847" builtinId="9" hidden="1"/>
    <cellStyle name="Besøgt link" xfId="849" builtinId="9" hidden="1"/>
    <cellStyle name="Besøgt link" xfId="851" builtinId="9" hidden="1"/>
    <cellStyle name="Besøgt link" xfId="853" builtinId="9" hidden="1"/>
    <cellStyle name="Besøgt link" xfId="855" builtinId="9" hidden="1"/>
    <cellStyle name="Besøgt link" xfId="857" builtinId="9" hidden="1"/>
    <cellStyle name="Besøgt link" xfId="859" builtinId="9" hidden="1"/>
    <cellStyle name="Besøgt link" xfId="861" builtinId="9" hidden="1"/>
    <cellStyle name="Besøgt link" xfId="863" builtinId="9" hidden="1"/>
    <cellStyle name="Besøgt link" xfId="865" builtinId="9" hidden="1"/>
    <cellStyle name="Besøgt link" xfId="867" builtinId="9" hidden="1"/>
    <cellStyle name="Besøgt link" xfId="869" builtinId="9" hidden="1"/>
    <cellStyle name="Besøgt link" xfId="871" builtinId="9" hidden="1"/>
    <cellStyle name="Besøgt link" xfId="873" builtinId="9" hidden="1"/>
    <cellStyle name="Besøgt link" xfId="875" builtinId="9" hidden="1"/>
    <cellStyle name="Besøgt link" xfId="877" builtinId="9" hidden="1"/>
    <cellStyle name="Besøgt link" xfId="879" builtinId="9" hidden="1"/>
    <cellStyle name="Besøgt link" xfId="881" builtinId="9" hidden="1"/>
    <cellStyle name="Besøgt link" xfId="883" builtinId="9" hidden="1"/>
    <cellStyle name="Besøgt link" xfId="885" builtinId="9" hidden="1"/>
    <cellStyle name="Besøgt link" xfId="887" builtinId="9" hidden="1"/>
    <cellStyle name="Besøgt link" xfId="889" builtinId="9" hidden="1"/>
    <cellStyle name="Besøgt link" xfId="891" builtinId="9" hidden="1"/>
    <cellStyle name="Besøgt link" xfId="893" builtinId="9" hidden="1"/>
    <cellStyle name="Besøgt link" xfId="895" builtinId="9" hidden="1"/>
    <cellStyle name="Besøgt link" xfId="897" builtinId="9" hidden="1"/>
    <cellStyle name="Besøgt link" xfId="899" builtinId="9" hidden="1"/>
    <cellStyle name="Besøgt link" xfId="901" builtinId="9" hidden="1"/>
    <cellStyle name="Besøgt link" xfId="903" builtinId="9" hidden="1"/>
    <cellStyle name="Besøgt link" xfId="905" builtinId="9" hidden="1"/>
    <cellStyle name="Besøgt link" xfId="907" builtinId="9" hidden="1"/>
    <cellStyle name="Besøgt link" xfId="909" builtinId="9" hidden="1"/>
    <cellStyle name="Besøgt link" xfId="911" builtinId="9" hidden="1"/>
    <cellStyle name="Besøgt link" xfId="913" builtinId="9" hidden="1"/>
    <cellStyle name="Besøgt link" xfId="915" builtinId="9" hidden="1"/>
    <cellStyle name="Besøgt link" xfId="917" builtinId="9" hidden="1"/>
    <cellStyle name="Besøgt link" xfId="919" builtinId="9" hidden="1"/>
    <cellStyle name="Besøgt link" xfId="921" builtinId="9" hidden="1"/>
    <cellStyle name="Besøgt link" xfId="923" builtinId="9" hidden="1"/>
    <cellStyle name="Besøgt link" xfId="925" builtinId="9" hidden="1"/>
    <cellStyle name="Besøgt link" xfId="927" builtinId="9" hidden="1"/>
    <cellStyle name="Besøgt link" xfId="929" builtinId="9" hidden="1"/>
    <cellStyle name="Besøgt link" xfId="931" builtinId="9" hidden="1"/>
    <cellStyle name="Besøgt link" xfId="933" builtinId="9" hidden="1"/>
    <cellStyle name="Besøgt link" xfId="935" builtinId="9" hidden="1"/>
    <cellStyle name="Besøgt link" xfId="937" builtinId="9" hidden="1"/>
    <cellStyle name="Besøgt link" xfId="939" builtinId="9" hidden="1"/>
    <cellStyle name="Besøgt link" xfId="941" builtinId="9" hidden="1"/>
    <cellStyle name="Besøgt link" xfId="943" builtinId="9" hidden="1"/>
    <cellStyle name="Besøgt link" xfId="945" builtinId="9" hidden="1"/>
    <cellStyle name="Besøgt link" xfId="947" builtinId="9" hidden="1"/>
    <cellStyle name="Besøgt link" xfId="949" builtinId="9" hidden="1"/>
    <cellStyle name="Besøgt link" xfId="951" builtinId="9" hidden="1"/>
    <cellStyle name="Besøgt link" xfId="953" builtinId="9" hidden="1"/>
    <cellStyle name="Besøgt link" xfId="955" builtinId="9" hidden="1"/>
    <cellStyle name="Besøgt link" xfId="957" builtinId="9" hidden="1"/>
    <cellStyle name="Besøgt link" xfId="959" builtinId="9" hidden="1"/>
    <cellStyle name="Besøgt link" xfId="961" builtinId="9" hidden="1"/>
    <cellStyle name="Besøgt link" xfId="963" builtinId="9" hidden="1"/>
    <cellStyle name="Besøgt link" xfId="965" builtinId="9" hidden="1"/>
    <cellStyle name="Besøgt link" xfId="967" builtinId="9" hidden="1"/>
    <cellStyle name="Besøgt link" xfId="969" builtinId="9" hidden="1"/>
    <cellStyle name="Besøgt link" xfId="971" builtinId="9" hidden="1"/>
    <cellStyle name="Besøgt link" xfId="973" builtinId="9" hidden="1"/>
    <cellStyle name="Besøgt link" xfId="975" builtinId="9" hidden="1"/>
    <cellStyle name="Besøgt link" xfId="977" builtinId="9" hidden="1"/>
    <cellStyle name="Besøgt link" xfId="979" builtinId="9" hidden="1"/>
    <cellStyle name="Besøgt link" xfId="981" builtinId="9" hidden="1"/>
    <cellStyle name="Besøgt link" xfId="983" builtinId="9" hidden="1"/>
    <cellStyle name="Besøgt link" xfId="985" builtinId="9" hidden="1"/>
    <cellStyle name="Besøgt link" xfId="987" builtinId="9" hidden="1"/>
    <cellStyle name="Besøgt link" xfId="989" builtinId="9" hidden="1"/>
    <cellStyle name="Besøgt link" xfId="991" builtinId="9" hidden="1"/>
    <cellStyle name="Besøgt link" xfId="993" builtinId="9" hidden="1"/>
    <cellStyle name="Besøgt link" xfId="995" builtinId="9" hidden="1"/>
    <cellStyle name="Besøgt link" xfId="997" builtinId="9" hidden="1"/>
    <cellStyle name="Besøgt link" xfId="999" builtinId="9" hidden="1"/>
    <cellStyle name="Besøgt link" xfId="1001" builtinId="9" hidden="1"/>
    <cellStyle name="Besøgt link" xfId="1003" builtinId="9" hidden="1"/>
    <cellStyle name="Besøgt link" xfId="1005" builtinId="9" hidden="1"/>
    <cellStyle name="Besøgt link" xfId="1007" builtinId="9" hidden="1"/>
    <cellStyle name="Besøgt link" xfId="1009" builtinId="9" hidden="1"/>
    <cellStyle name="Besøgt link" xfId="1011" builtinId="9" hidden="1"/>
    <cellStyle name="Besøgt link" xfId="1013" builtinId="9" hidden="1"/>
    <cellStyle name="Besøgt link" xfId="1015" builtinId="9" hidden="1"/>
    <cellStyle name="Besøgt link" xfId="1017" builtinId="9" hidden="1"/>
    <cellStyle name="Besøgt link" xfId="1019" builtinId="9" hidden="1"/>
    <cellStyle name="Besøgt link" xfId="1021" builtinId="9" hidden="1"/>
    <cellStyle name="Besøgt link" xfId="1023" builtinId="9" hidden="1"/>
    <cellStyle name="Besøgt link" xfId="1025" builtinId="9" hidden="1"/>
    <cellStyle name="Besøgt link" xfId="1027" builtinId="9" hidden="1"/>
    <cellStyle name="Besøgt link" xfId="1029" builtinId="9" hidden="1"/>
    <cellStyle name="Besøgt link" xfId="1031" builtinId="9" hidden="1"/>
    <cellStyle name="Besøgt link" xfId="1033" builtinId="9" hidden="1"/>
    <cellStyle name="Besøgt link" xfId="1035" builtinId="9" hidden="1"/>
    <cellStyle name="Besøgt link" xfId="1037" builtinId="9" hidden="1"/>
    <cellStyle name="Besøgt link" xfId="1039" builtinId="9" hidden="1"/>
    <cellStyle name="Besøgt link" xfId="1041" builtinId="9" hidden="1"/>
    <cellStyle name="Besøgt link" xfId="1043" builtinId="9" hidden="1"/>
    <cellStyle name="Besøgt link" xfId="1045" builtinId="9" hidden="1"/>
    <cellStyle name="Besøgt link" xfId="1047" builtinId="9" hidden="1"/>
    <cellStyle name="Besøgt link" xfId="1049" builtinId="9" hidden="1"/>
    <cellStyle name="Besøgt link" xfId="1051" builtinId="9" hidden="1"/>
    <cellStyle name="Besøgt link" xfId="1053" builtinId="9" hidden="1"/>
    <cellStyle name="Besøgt link" xfId="1055" builtinId="9" hidden="1"/>
    <cellStyle name="Besøgt link" xfId="1057" builtinId="9" hidden="1"/>
    <cellStyle name="Besøgt link" xfId="1059" builtinId="9" hidden="1"/>
    <cellStyle name="Besøgt link" xfId="1061" builtinId="9" hidden="1"/>
    <cellStyle name="Besøgt link" xfId="1063" builtinId="9" hidden="1"/>
    <cellStyle name="Besøgt link" xfId="1065" builtinId="9" hidden="1"/>
    <cellStyle name="Besøgt link" xfId="1067" builtinId="9" hidden="1"/>
    <cellStyle name="Besøgt link" xfId="1069" builtinId="9" hidden="1"/>
    <cellStyle name="Besøgt link" xfId="1071" builtinId="9" hidden="1"/>
    <cellStyle name="Besøgt link" xfId="1073" builtinId="9" hidden="1"/>
    <cellStyle name="Besøgt link" xfId="1075" builtinId="9" hidden="1"/>
    <cellStyle name="Besøgt link" xfId="1077" builtinId="9" hidden="1"/>
    <cellStyle name="Besøgt link" xfId="1079" builtinId="9" hidden="1"/>
    <cellStyle name="Besøgt link" xfId="1081" builtinId="9" hidden="1"/>
    <cellStyle name="Besøgt link" xfId="1083" builtinId="9" hidden="1"/>
    <cellStyle name="Besøgt link" xfId="1085" builtinId="9" hidden="1"/>
    <cellStyle name="Besøgt link" xfId="1087" builtinId="9" hidden="1"/>
    <cellStyle name="Besøgt link" xfId="1089" builtinId="9" hidden="1"/>
    <cellStyle name="Besøgt link" xfId="1091" builtinId="9" hidden="1"/>
    <cellStyle name="Besøgt link" xfId="1093" builtinId="9" hidden="1"/>
    <cellStyle name="Besøgt link" xfId="1095" builtinId="9" hidden="1"/>
    <cellStyle name="Besøgt link" xfId="1097" builtinId="9" hidden="1"/>
    <cellStyle name="Besøgt link" xfId="1099" builtinId="9" hidden="1"/>
    <cellStyle name="Besøgt link" xfId="1101" builtinId="9" hidden="1"/>
    <cellStyle name="Besøgt link" xfId="1103" builtinId="9" hidden="1"/>
    <cellStyle name="Besøgt link" xfId="1105" builtinId="9" hidden="1"/>
    <cellStyle name="Besøgt link" xfId="1107" builtinId="9" hidden="1"/>
    <cellStyle name="Besøgt link" xfId="1109" builtinId="9" hidden="1"/>
    <cellStyle name="Besøgt link" xfId="1111" builtinId="9" hidden="1"/>
    <cellStyle name="Besøgt link" xfId="1113" builtinId="9" hidden="1"/>
    <cellStyle name="Besøgt link" xfId="1115" builtinId="9" hidden="1"/>
    <cellStyle name="Besøgt link" xfId="1117" builtinId="9" hidden="1"/>
    <cellStyle name="Besøgt link" xfId="1119" builtinId="9" hidden="1"/>
    <cellStyle name="Besøgt link" xfId="1121" builtinId="9" hidden="1"/>
    <cellStyle name="Besøgt link" xfId="1123" builtinId="9" hidden="1"/>
    <cellStyle name="Besøgt link" xfId="1125" builtinId="9" hidden="1"/>
    <cellStyle name="Besøgt link" xfId="1127" builtinId="9" hidden="1"/>
    <cellStyle name="Besøgt link" xfId="1129" builtinId="9" hidden="1"/>
    <cellStyle name="Besøgt link" xfId="1131" builtinId="9" hidden="1"/>
    <cellStyle name="Besøgt link" xfId="1133" builtinId="9" hidden="1"/>
    <cellStyle name="Besøgt link" xfId="1135" builtinId="9" hidden="1"/>
    <cellStyle name="Besøgt link" xfId="1137" builtinId="9" hidden="1"/>
    <cellStyle name="Besøgt link" xfId="1139" builtinId="9" hidden="1"/>
    <cellStyle name="Besøgt link" xfId="1141" builtinId="9" hidden="1"/>
    <cellStyle name="Besøgt link" xfId="1143" builtinId="9" hidden="1"/>
    <cellStyle name="Besøgt link" xfId="1145" builtinId="9" hidden="1"/>
    <cellStyle name="Besøgt link" xfId="1147" builtinId="9" hidden="1"/>
    <cellStyle name="Besøgt link" xfId="1149" builtinId="9" hidden="1"/>
    <cellStyle name="Besøgt link" xfId="1151" builtinId="9" hidden="1"/>
    <cellStyle name="Besøgt link" xfId="1153" builtinId="9" hidden="1"/>
    <cellStyle name="Besøgt link" xfId="1155" builtinId="9" hidden="1"/>
    <cellStyle name="Besøgt link" xfId="1157" builtinId="9" hidden="1"/>
    <cellStyle name="Besøgt link" xfId="1159" builtinId="9" hidden="1"/>
    <cellStyle name="Besøgt link" xfId="1161" builtinId="9" hidden="1"/>
    <cellStyle name="Besøgt link" xfId="1163" builtinId="9" hidden="1"/>
    <cellStyle name="Besøgt link" xfId="1165" builtinId="9" hidden="1"/>
    <cellStyle name="Besøgt link" xfId="1167" builtinId="9" hidden="1"/>
    <cellStyle name="Besøgt link" xfId="1169" builtinId="9" hidden="1"/>
    <cellStyle name="Besøgt link" xfId="1171" builtinId="9" hidden="1"/>
    <cellStyle name="Besøgt link" xfId="1173" builtinId="9" hidden="1"/>
    <cellStyle name="Besøgt link" xfId="1175" builtinId="9" hidden="1"/>
    <cellStyle name="Besøgt link" xfId="1177" builtinId="9" hidden="1"/>
    <cellStyle name="Besøgt link" xfId="1179" builtinId="9" hidden="1"/>
    <cellStyle name="Besøgt link" xfId="1181" builtinId="9" hidden="1"/>
    <cellStyle name="Besøgt link" xfId="1183" builtinId="9" hidden="1"/>
    <cellStyle name="Besøgt link" xfId="1185" builtinId="9" hidden="1"/>
    <cellStyle name="Besøgt link" xfId="1187" builtinId="9" hidden="1"/>
    <cellStyle name="Besøgt link" xfId="1189" builtinId="9" hidden="1"/>
    <cellStyle name="Besøgt link" xfId="1191" builtinId="9" hidden="1"/>
    <cellStyle name="Besøgt link" xfId="1193" builtinId="9" hidden="1"/>
    <cellStyle name="Besøgt link" xfId="1195" builtinId="9" hidden="1"/>
    <cellStyle name="Besøgt link" xfId="1197" builtinId="9" hidden="1"/>
    <cellStyle name="Besøgt link" xfId="1199" builtinId="9" hidden="1"/>
    <cellStyle name="Besøgt link" xfId="1201" builtinId="9" hidden="1"/>
    <cellStyle name="Besøgt link" xfId="1203" builtinId="9" hidden="1"/>
    <cellStyle name="Besøgt link" xfId="1205" builtinId="9" hidden="1"/>
    <cellStyle name="Besøgt link" xfId="1207" builtinId="9" hidden="1"/>
    <cellStyle name="Besøgt link" xfId="1209" builtinId="9" hidden="1"/>
    <cellStyle name="Besøgt link" xfId="1211" builtinId="9" hidden="1"/>
    <cellStyle name="Besøgt link" xfId="1213" builtinId="9" hidden="1"/>
    <cellStyle name="Besøgt link" xfId="1215" builtinId="9" hidden="1"/>
    <cellStyle name="Besøgt link" xfId="1217" builtinId="9" hidden="1"/>
    <cellStyle name="Besøgt link" xfId="1219" builtinId="9" hidden="1"/>
    <cellStyle name="Besøgt link" xfId="1221" builtinId="9" hidden="1"/>
    <cellStyle name="Besøgt link" xfId="1223" builtinId="9" hidden="1"/>
    <cellStyle name="Besøgt link" xfId="1225" builtinId="9" hidden="1"/>
    <cellStyle name="Besøgt link" xfId="1227" builtinId="9" hidden="1"/>
    <cellStyle name="Besøgt link" xfId="1229" builtinId="9" hidden="1"/>
    <cellStyle name="Besøgt link" xfId="1231" builtinId="9" hidden="1"/>
    <cellStyle name="Besøgt link" xfId="1233" builtinId="9" hidden="1"/>
    <cellStyle name="Besøgt link" xfId="1235" builtinId="9" hidden="1"/>
    <cellStyle name="Besøgt link" xfId="1237" builtinId="9" hidden="1"/>
    <cellStyle name="Besøgt link" xfId="1239" builtinId="9" hidden="1"/>
    <cellStyle name="Besøgt link" xfId="1241" builtinId="9" hidden="1"/>
    <cellStyle name="Besøgt link" xfId="1243" builtinId="9" hidden="1"/>
    <cellStyle name="Besøgt link" xfId="1245" builtinId="9" hidden="1"/>
    <cellStyle name="Besøgt link" xfId="1247" builtinId="9" hidden="1"/>
    <cellStyle name="Besøgt link" xfId="1249" builtinId="9" hidden="1"/>
    <cellStyle name="Besøgt link" xfId="1251" builtinId="9" hidden="1"/>
    <cellStyle name="Besøgt link" xfId="1253" builtinId="9" hidden="1"/>
    <cellStyle name="Besøgt link" xfId="1255" builtinId="9" hidden="1"/>
    <cellStyle name="Besøgt link" xfId="1257" builtinId="9" hidden="1"/>
    <cellStyle name="Besøgt link" xfId="1259" builtinId="9" hidden="1"/>
    <cellStyle name="Besøgt link" xfId="1261" builtinId="9" hidden="1"/>
    <cellStyle name="Besøgt link" xfId="1263" builtinId="9" hidden="1"/>
    <cellStyle name="Besøgt link" xfId="1265" builtinId="9" hidden="1"/>
    <cellStyle name="Besøgt link" xfId="1267" builtinId="9" hidden="1"/>
    <cellStyle name="Besøgt link" xfId="1269" builtinId="9" hidden="1"/>
    <cellStyle name="Besøgt link" xfId="1271" builtinId="9" hidden="1"/>
    <cellStyle name="Besøgt link" xfId="1273" builtinId="9" hidden="1"/>
    <cellStyle name="Besøgt link" xfId="1275" builtinId="9" hidden="1"/>
    <cellStyle name="Besøgt link" xfId="1277" builtinId="9" hidden="1"/>
    <cellStyle name="Besøgt link" xfId="1279" builtinId="9" hidden="1"/>
    <cellStyle name="Besøgt link" xfId="1281" builtinId="9" hidden="1"/>
    <cellStyle name="Besøgt link" xfId="1283" builtinId="9" hidden="1"/>
    <cellStyle name="Besøgt link" xfId="1285" builtinId="9" hidden="1"/>
    <cellStyle name="Besøgt link" xfId="1287" builtinId="9" hidden="1"/>
    <cellStyle name="Besøgt link" xfId="1289" builtinId="9" hidden="1"/>
    <cellStyle name="Besøgt link" xfId="1291" builtinId="9" hidden="1"/>
    <cellStyle name="Besøgt link" xfId="1293" builtinId="9" hidden="1"/>
    <cellStyle name="Besøgt link" xfId="1295" builtinId="9" hidden="1"/>
    <cellStyle name="Besøgt link" xfId="1297" builtinId="9" hidden="1"/>
    <cellStyle name="Besøgt link" xfId="1299" builtinId="9" hidden="1"/>
    <cellStyle name="Besøgt link" xfId="1301" builtinId="9" hidden="1"/>
    <cellStyle name="Besøgt link" xfId="1303" builtinId="9" hidden="1"/>
    <cellStyle name="Besøgt link" xfId="1305" builtinId="9" hidden="1"/>
    <cellStyle name="Besøgt link" xfId="1307" builtinId="9" hidden="1"/>
    <cellStyle name="Besøgt link" xfId="1309" builtinId="9" hidden="1"/>
    <cellStyle name="Besøgt link" xfId="1311" builtinId="9" hidden="1"/>
    <cellStyle name="Besøgt link" xfId="1313" builtinId="9" hidden="1"/>
    <cellStyle name="Besøgt link" xfId="1315" builtinId="9" hidden="1"/>
    <cellStyle name="Besøgt link" xfId="1317" builtinId="9" hidden="1"/>
    <cellStyle name="Besøgt link" xfId="1319" builtinId="9" hidden="1"/>
    <cellStyle name="Besøgt link" xfId="1321" builtinId="9" hidden="1"/>
    <cellStyle name="Besøgt link" xfId="1323" builtinId="9" hidden="1"/>
    <cellStyle name="Besøgt link" xfId="1325" builtinId="9" hidden="1"/>
    <cellStyle name="Besøgt link" xfId="1327" builtinId="9" hidden="1"/>
    <cellStyle name="Besøgt link" xfId="1329" builtinId="9" hidden="1"/>
    <cellStyle name="Besøgt link" xfId="1331" builtinId="9" hidden="1"/>
    <cellStyle name="Besøgt link" xfId="1333" builtinId="9" hidden="1"/>
    <cellStyle name="Besøgt link" xfId="1335" builtinId="9" hidden="1"/>
    <cellStyle name="Besøgt link" xfId="1337" builtinId="9" hidden="1"/>
    <cellStyle name="Besøgt link" xfId="1339" builtinId="9" hidden="1"/>
    <cellStyle name="Besøgt link" xfId="1341" builtinId="9" hidden="1"/>
    <cellStyle name="Besøgt link" xfId="1343" builtinId="9" hidden="1"/>
    <cellStyle name="Besøgt link" xfId="1345" builtinId="9" hidden="1"/>
    <cellStyle name="Besøgt link" xfId="1347" builtinId="9" hidden="1"/>
    <cellStyle name="Besøgt link" xfId="1349" builtinId="9" hidden="1"/>
    <cellStyle name="Besøgt link" xfId="1351" builtinId="9" hidden="1"/>
    <cellStyle name="Besøgt link" xfId="1353" builtinId="9" hidden="1"/>
    <cellStyle name="Besøgt link" xfId="1355" builtinId="9" hidden="1"/>
    <cellStyle name="Besøgt link" xfId="1357" builtinId="9" hidden="1"/>
    <cellStyle name="Besøgt link" xfId="1359" builtinId="9" hidden="1"/>
    <cellStyle name="Besøgt link" xfId="1361" builtinId="9" hidden="1"/>
    <cellStyle name="Besøgt link" xfId="1363" builtinId="9" hidden="1"/>
    <cellStyle name="Besøgt link" xfId="1365" builtinId="9" hidden="1"/>
    <cellStyle name="Besøgt link" xfId="1367" builtinId="9" hidden="1"/>
    <cellStyle name="Besøgt link" xfId="1369" builtinId="9" hidden="1"/>
    <cellStyle name="Besøgt link" xfId="1371" builtinId="9" hidden="1"/>
    <cellStyle name="Besøgt link" xfId="1373" builtinId="9" hidden="1"/>
    <cellStyle name="Besøgt link" xfId="1375" builtinId="9" hidden="1"/>
    <cellStyle name="Besøgt link" xfId="1377" builtinId="9" hidden="1"/>
    <cellStyle name="Besøgt link" xfId="1379" builtinId="9" hidden="1"/>
    <cellStyle name="Besøgt link" xfId="1381" builtinId="9" hidden="1"/>
    <cellStyle name="Besøgt link" xfId="1383" builtinId="9" hidden="1"/>
    <cellStyle name="Besøgt link" xfId="1385" builtinId="9" hidden="1"/>
    <cellStyle name="Besøgt link" xfId="1387" builtinId="9" hidden="1"/>
    <cellStyle name="Besøgt link" xfId="1389" builtinId="9" hidden="1"/>
    <cellStyle name="Besøgt link" xfId="1391" builtinId="9" hidden="1"/>
    <cellStyle name="Besøgt link" xfId="1393" builtinId="9" hidden="1"/>
    <cellStyle name="Besøgt link" xfId="1395" builtinId="9" hidden="1"/>
    <cellStyle name="Besøgt link" xfId="1397" builtinId="9" hidden="1"/>
    <cellStyle name="Besøgt link" xfId="1399" builtinId="9" hidden="1"/>
    <cellStyle name="Besøgt link" xfId="1401" builtinId="9" hidden="1"/>
    <cellStyle name="Besøgt link" xfId="1403" builtinId="9" hidden="1"/>
    <cellStyle name="Besøgt link" xfId="1405" builtinId="9" hidden="1"/>
    <cellStyle name="Besøgt link" xfId="1407" builtinId="9" hidden="1"/>
    <cellStyle name="Besøgt link" xfId="1409" builtinId="9" hidden="1"/>
    <cellStyle name="Besøgt link" xfId="1411" builtinId="9" hidden="1"/>
    <cellStyle name="Besøgt link" xfId="1413" builtinId="9" hidden="1"/>
    <cellStyle name="Besøgt link" xfId="1415" builtinId="9" hidden="1"/>
    <cellStyle name="Besøgt link" xfId="1417" builtinId="9" hidden="1"/>
    <cellStyle name="Besøgt link" xfId="1419" builtinId="9" hidden="1"/>
    <cellStyle name="Besøgt link" xfId="1421" builtinId="9" hidden="1"/>
    <cellStyle name="Besøgt link" xfId="1423" builtinId="9" hidden="1"/>
    <cellStyle name="Besøgt link" xfId="1425" builtinId="9" hidden="1"/>
    <cellStyle name="Besøgt link" xfId="1427" builtinId="9" hidden="1"/>
    <cellStyle name="Besøgt link" xfId="1429" builtinId="9" hidden="1"/>
    <cellStyle name="Besøgt link" xfId="1431" builtinId="9" hidden="1"/>
    <cellStyle name="Besøgt link" xfId="1433" builtinId="9" hidden="1"/>
    <cellStyle name="Besøgt link" xfId="1435" builtinId="9" hidden="1"/>
    <cellStyle name="Besøgt link" xfId="1437" builtinId="9" hidden="1"/>
    <cellStyle name="Besøgt link" xfId="1439" builtinId="9" hidden="1"/>
    <cellStyle name="Besøgt link" xfId="1441" builtinId="9" hidden="1"/>
    <cellStyle name="Besøgt link" xfId="1443" builtinId="9" hidden="1"/>
    <cellStyle name="Besøgt link" xfId="1445" builtinId="9" hidden="1"/>
    <cellStyle name="Besøgt link" xfId="1447" builtinId="9" hidden="1"/>
    <cellStyle name="Besøgt link" xfId="1449" builtinId="9" hidden="1"/>
    <cellStyle name="Besøgt link" xfId="1451" builtinId="9" hidden="1"/>
    <cellStyle name="Besøgt link" xfId="1453" builtinId="9" hidden="1"/>
    <cellStyle name="Besøgt link" xfId="1455" builtinId="9" hidden="1"/>
    <cellStyle name="Besøgt link" xfId="1457" builtinId="9" hidden="1"/>
    <cellStyle name="Besøgt link" xfId="1459" builtinId="9" hidden="1"/>
    <cellStyle name="Besøgt link" xfId="1461" builtinId="9" hidden="1"/>
    <cellStyle name="Besøgt link" xfId="1463" builtinId="9" hidden="1"/>
    <cellStyle name="Besøgt link" xfId="1465" builtinId="9" hidden="1"/>
    <cellStyle name="Besøgt link" xfId="1467" builtinId="9" hidden="1"/>
    <cellStyle name="Besøgt link" xfId="1469" builtinId="9" hidden="1"/>
    <cellStyle name="Komma" xfId="80" builtinId="3"/>
    <cellStyle name="komma0" xfId="35" xr:uid="{00000000-0005-0000-0000-0000B8050000}"/>
    <cellStyle name="komma0 2" xfId="772" xr:uid="{00000000-0005-0000-0000-0000B9050000}"/>
    <cellStyle name="Link" xfId="1" builtinId="8" hidden="1"/>
    <cellStyle name="Link" xfId="3" builtinId="8" hidden="1"/>
    <cellStyle name="Link" xfId="5" builtinId="8" hidden="1"/>
    <cellStyle name="Link" xfId="7" builtinId="8" hidden="1"/>
    <cellStyle name="Link" xfId="9" builtinId="8" hidden="1"/>
    <cellStyle name="Link" xfId="11" builtinId="8" hidden="1"/>
    <cellStyle name="Link" xfId="13" builtinId="8" hidden="1"/>
    <cellStyle name="Link" xfId="15" builtinId="8" hidden="1"/>
    <cellStyle name="Link" xfId="17" builtinId="8" hidden="1"/>
    <cellStyle name="Link" xfId="19" builtinId="8" hidden="1"/>
    <cellStyle name="Link" xfId="21" builtinId="8" hidden="1"/>
    <cellStyle name="Link" xfId="23" builtinId="8" hidden="1"/>
    <cellStyle name="Link" xfId="25" builtinId="8" hidden="1"/>
    <cellStyle name="Link" xfId="27" builtinId="8" hidden="1"/>
    <cellStyle name="Link" xfId="29" builtinId="8" hidden="1"/>
    <cellStyle name="Link" xfId="31" builtinId="8" hidden="1"/>
    <cellStyle name="Link" xfId="33" builtinId="8" hidden="1"/>
    <cellStyle name="Link" xfId="36" builtinId="8" hidden="1"/>
    <cellStyle name="Link" xfId="38" builtinId="8" hidden="1"/>
    <cellStyle name="Link" xfId="40" builtinId="8" hidden="1"/>
    <cellStyle name="Link" xfId="42" builtinId="8" hidden="1"/>
    <cellStyle name="Link" xfId="44" builtinId="8" hidden="1"/>
    <cellStyle name="Link" xfId="46" builtinId="8" hidden="1"/>
    <cellStyle name="Link" xfId="48" builtinId="8" hidden="1"/>
    <cellStyle name="Link" xfId="50" builtinId="8" hidden="1"/>
    <cellStyle name="Link" xfId="52" builtinId="8" hidden="1"/>
    <cellStyle name="Link" xfId="54" builtinId="8" hidden="1"/>
    <cellStyle name="Link" xfId="56" builtinId="8" hidden="1"/>
    <cellStyle name="Link" xfId="58" builtinId="8" hidden="1"/>
    <cellStyle name="Link" xfId="60" builtinId="8" hidden="1"/>
    <cellStyle name="Link" xfId="62" builtinId="8" hidden="1"/>
    <cellStyle name="Link" xfId="64" builtinId="8" hidden="1"/>
    <cellStyle name="Link" xfId="66" builtinId="8" hidden="1"/>
    <cellStyle name="Link" xfId="68" builtinId="8" hidden="1"/>
    <cellStyle name="Link" xfId="70" builtinId="8" hidden="1"/>
    <cellStyle name="Link" xfId="72" builtinId="8" hidden="1"/>
    <cellStyle name="Link" xfId="74" builtinId="8" hidden="1"/>
    <cellStyle name="Link" xfId="76" builtinId="8" hidden="1"/>
    <cellStyle name="Link" xfId="78" builtinId="8" hidden="1"/>
    <cellStyle name="Link" xfId="81" builtinId="8" hidden="1"/>
    <cellStyle name="Link" xfId="83" builtinId="8" hidden="1"/>
    <cellStyle name="Link" xfId="85" builtinId="8" hidden="1"/>
    <cellStyle name="Link" xfId="87" builtinId="8" hidden="1"/>
    <cellStyle name="Link" xfId="89" builtinId="8" hidden="1"/>
    <cellStyle name="Link" xfId="91" builtinId="8" hidden="1"/>
    <cellStyle name="Link" xfId="93" builtinId="8" hidden="1"/>
    <cellStyle name="Link" xfId="95" builtinId="8" hidden="1"/>
    <cellStyle name="Link" xfId="97" builtinId="8" hidden="1"/>
    <cellStyle name="Link" xfId="99" builtinId="8" hidden="1"/>
    <cellStyle name="Link" xfId="101" builtinId="8" hidden="1"/>
    <cellStyle name="Link" xfId="103" builtinId="8" hidden="1"/>
    <cellStyle name="Link" xfId="105" builtinId="8" hidden="1"/>
    <cellStyle name="Link" xfId="107" builtinId="8" hidden="1"/>
    <cellStyle name="Link" xfId="109" builtinId="8" hidden="1"/>
    <cellStyle name="Link" xfId="111" builtinId="8" hidden="1"/>
    <cellStyle name="Link" xfId="113" builtinId="8" hidden="1"/>
    <cellStyle name="Link" xfId="115" builtinId="8" hidden="1"/>
    <cellStyle name="Link" xfId="117" builtinId="8" hidden="1"/>
    <cellStyle name="Link" xfId="119" builtinId="8" hidden="1"/>
    <cellStyle name="Link" xfId="121" builtinId="8" hidden="1"/>
    <cellStyle name="Link" xfId="123" builtinId="8" hidden="1"/>
    <cellStyle name="Link" xfId="125" builtinId="8" hidden="1"/>
    <cellStyle name="Link" xfId="127" builtinId="8" hidden="1"/>
    <cellStyle name="Link" xfId="129" builtinId="8" hidden="1"/>
    <cellStyle name="Link" xfId="131" builtinId="8" hidden="1"/>
    <cellStyle name="Link" xfId="133" builtinId="8" hidden="1"/>
    <cellStyle name="Link" xfId="135" builtinId="8" hidden="1"/>
    <cellStyle name="Link" xfId="137" builtinId="8" hidden="1"/>
    <cellStyle name="Link" xfId="139" builtinId="8" hidden="1"/>
    <cellStyle name="Link" xfId="141" builtinId="8" hidden="1"/>
    <cellStyle name="Link" xfId="143" builtinId="8" hidden="1"/>
    <cellStyle name="Link" xfId="145" builtinId="8" hidden="1"/>
    <cellStyle name="Link" xfId="147" builtinId="8" hidden="1"/>
    <cellStyle name="Link" xfId="149" builtinId="8" hidden="1"/>
    <cellStyle name="Link" xfId="151" builtinId="8" hidden="1"/>
    <cellStyle name="Link" xfId="153" builtinId="8" hidden="1"/>
    <cellStyle name="Link" xfId="155" builtinId="8" hidden="1"/>
    <cellStyle name="Link" xfId="157" builtinId="8" hidden="1"/>
    <cellStyle name="Link" xfId="159" builtinId="8" hidden="1"/>
    <cellStyle name="Link" xfId="161" builtinId="8" hidden="1"/>
    <cellStyle name="Link" xfId="163" builtinId="8" hidden="1"/>
    <cellStyle name="Link" xfId="165" builtinId="8" hidden="1"/>
    <cellStyle name="Link" xfId="167" builtinId="8" hidden="1"/>
    <cellStyle name="Link" xfId="169" builtinId="8" hidden="1"/>
    <cellStyle name="Link" xfId="171" builtinId="8" hidden="1"/>
    <cellStyle name="Link" xfId="173" builtinId="8" hidden="1"/>
    <cellStyle name="Link" xfId="175" builtinId="8" hidden="1"/>
    <cellStyle name="Link" xfId="177" builtinId="8" hidden="1"/>
    <cellStyle name="Link" xfId="179" builtinId="8" hidden="1"/>
    <cellStyle name="Link" xfId="181" builtinId="8" hidden="1"/>
    <cellStyle name="Link" xfId="183" builtinId="8" hidden="1"/>
    <cellStyle name="Link" xfId="185" builtinId="8" hidden="1"/>
    <cellStyle name="Link" xfId="187" builtinId="8" hidden="1"/>
    <cellStyle name="Link" xfId="189" builtinId="8" hidden="1"/>
    <cellStyle name="Link" xfId="191" builtinId="8" hidden="1"/>
    <cellStyle name="Link" xfId="193" builtinId="8" hidden="1"/>
    <cellStyle name="Link" xfId="195" builtinId="8" hidden="1"/>
    <cellStyle name="Link" xfId="197" builtinId="8" hidden="1"/>
    <cellStyle name="Link" xfId="199" builtinId="8" hidden="1"/>
    <cellStyle name="Link" xfId="201" builtinId="8" hidden="1"/>
    <cellStyle name="Link" xfId="203" builtinId="8" hidden="1"/>
    <cellStyle name="Link" xfId="205" builtinId="8" hidden="1"/>
    <cellStyle name="Link" xfId="207" builtinId="8" hidden="1"/>
    <cellStyle name="Link" xfId="209" builtinId="8" hidden="1"/>
    <cellStyle name="Link" xfId="211" builtinId="8" hidden="1"/>
    <cellStyle name="Link" xfId="213" builtinId="8" hidden="1"/>
    <cellStyle name="Link" xfId="215" builtinId="8" hidden="1"/>
    <cellStyle name="Link" xfId="217" builtinId="8" hidden="1"/>
    <cellStyle name="Link" xfId="219" builtinId="8" hidden="1"/>
    <cellStyle name="Link" xfId="221" builtinId="8" hidden="1"/>
    <cellStyle name="Link" xfId="223" builtinId="8" hidden="1"/>
    <cellStyle name="Link" xfId="225" builtinId="8" hidden="1"/>
    <cellStyle name="Link" xfId="227" builtinId="8" hidden="1"/>
    <cellStyle name="Link" xfId="229" builtinId="8" hidden="1"/>
    <cellStyle name="Link" xfId="231" builtinId="8" hidden="1"/>
    <cellStyle name="Link" xfId="233" builtinId="8" hidden="1"/>
    <cellStyle name="Link" xfId="235" builtinId="8" hidden="1"/>
    <cellStyle name="Link" xfId="237" builtinId="8" hidden="1"/>
    <cellStyle name="Link" xfId="239" builtinId="8" hidden="1"/>
    <cellStyle name="Link" xfId="241" builtinId="8" hidden="1"/>
    <cellStyle name="Link" xfId="243" builtinId="8" hidden="1"/>
    <cellStyle name="Link" xfId="245" builtinId="8" hidden="1"/>
    <cellStyle name="Link" xfId="247" builtinId="8" hidden="1"/>
    <cellStyle name="Link" xfId="249" builtinId="8" hidden="1"/>
    <cellStyle name="Link" xfId="251" builtinId="8" hidden="1"/>
    <cellStyle name="Link" xfId="253" builtinId="8" hidden="1"/>
    <cellStyle name="Link" xfId="255" builtinId="8" hidden="1"/>
    <cellStyle name="Link" xfId="257" builtinId="8" hidden="1"/>
    <cellStyle name="Link" xfId="259" builtinId="8" hidden="1"/>
    <cellStyle name="Link" xfId="261" builtinId="8" hidden="1"/>
    <cellStyle name="Link" xfId="263" builtinId="8" hidden="1"/>
    <cellStyle name="Link" xfId="265" builtinId="8" hidden="1"/>
    <cellStyle name="Link" xfId="267" builtinId="8" hidden="1"/>
    <cellStyle name="Link" xfId="269" builtinId="8" hidden="1"/>
    <cellStyle name="Link" xfId="271" builtinId="8" hidden="1"/>
    <cellStyle name="Link" xfId="273" builtinId="8" hidden="1"/>
    <cellStyle name="Link" xfId="275" builtinId="8" hidden="1"/>
    <cellStyle name="Link" xfId="277" builtinId="8" hidden="1"/>
    <cellStyle name="Link" xfId="279" builtinId="8" hidden="1"/>
    <cellStyle name="Link" xfId="281" builtinId="8" hidden="1"/>
    <cellStyle name="Link" xfId="283" builtinId="8" hidden="1"/>
    <cellStyle name="Link" xfId="285" builtinId="8" hidden="1"/>
    <cellStyle name="Link" xfId="287" builtinId="8" hidden="1"/>
    <cellStyle name="Link" xfId="289" builtinId="8" hidden="1"/>
    <cellStyle name="Link" xfId="291" builtinId="8" hidden="1"/>
    <cellStyle name="Link" xfId="293" builtinId="8" hidden="1"/>
    <cellStyle name="Link" xfId="295" builtinId="8" hidden="1"/>
    <cellStyle name="Link" xfId="297" builtinId="8" hidden="1"/>
    <cellStyle name="Link" xfId="299" builtinId="8" hidden="1"/>
    <cellStyle name="Link" xfId="301" builtinId="8" hidden="1"/>
    <cellStyle name="Link" xfId="303" builtinId="8" hidden="1"/>
    <cellStyle name="Link" xfId="305" builtinId="8" hidden="1"/>
    <cellStyle name="Link" xfId="307" builtinId="8" hidden="1"/>
    <cellStyle name="Link" xfId="309" builtinId="8" hidden="1"/>
    <cellStyle name="Link" xfId="311" builtinId="8" hidden="1"/>
    <cellStyle name="Link" xfId="313" builtinId="8" hidden="1"/>
    <cellStyle name="Link" xfId="315" builtinId="8" hidden="1"/>
    <cellStyle name="Link" xfId="317" builtinId="8" hidden="1"/>
    <cellStyle name="Link" xfId="319" builtinId="8" hidden="1"/>
    <cellStyle name="Link" xfId="321" builtinId="8" hidden="1"/>
    <cellStyle name="Link" xfId="323" builtinId="8" hidden="1"/>
    <cellStyle name="Link" xfId="325" builtinId="8" hidden="1"/>
    <cellStyle name="Link" xfId="327" builtinId="8" hidden="1"/>
    <cellStyle name="Link" xfId="329" builtinId="8" hidden="1"/>
    <cellStyle name="Link" xfId="331" builtinId="8" hidden="1"/>
    <cellStyle name="Link" xfId="333" builtinId="8" hidden="1"/>
    <cellStyle name="Link" xfId="335" builtinId="8" hidden="1"/>
    <cellStyle name="Link" xfId="337" builtinId="8" hidden="1"/>
    <cellStyle name="Link" xfId="339" builtinId="8" hidden="1"/>
    <cellStyle name="Link" xfId="341" builtinId="8" hidden="1"/>
    <cellStyle name="Link" xfId="343" builtinId="8" hidden="1"/>
    <cellStyle name="Link" xfId="345" builtinId="8" hidden="1"/>
    <cellStyle name="Link" xfId="347" builtinId="8" hidden="1"/>
    <cellStyle name="Link" xfId="349" builtinId="8" hidden="1"/>
    <cellStyle name="Link" xfId="351" builtinId="8" hidden="1"/>
    <cellStyle name="Link" xfId="353" builtinId="8" hidden="1"/>
    <cellStyle name="Link" xfId="355" builtinId="8" hidden="1"/>
    <cellStyle name="Link" xfId="357" builtinId="8" hidden="1"/>
    <cellStyle name="Link" xfId="359" builtinId="8" hidden="1"/>
    <cellStyle name="Link" xfId="361" builtinId="8" hidden="1"/>
    <cellStyle name="Link" xfId="363" builtinId="8" hidden="1"/>
    <cellStyle name="Link" xfId="365" builtinId="8" hidden="1"/>
    <cellStyle name="Link" xfId="367" builtinId="8" hidden="1"/>
    <cellStyle name="Link" xfId="369" builtinId="8" hidden="1"/>
    <cellStyle name="Link" xfId="371" builtinId="8" hidden="1"/>
    <cellStyle name="Link" xfId="373" builtinId="8" hidden="1"/>
    <cellStyle name="Link" xfId="375" builtinId="8" hidden="1"/>
    <cellStyle name="Link" xfId="377" builtinId="8" hidden="1"/>
    <cellStyle name="Link" xfId="379" builtinId="8" hidden="1"/>
    <cellStyle name="Link" xfId="381" builtinId="8" hidden="1"/>
    <cellStyle name="Link" xfId="383" builtinId="8" hidden="1"/>
    <cellStyle name="Link" xfId="385" builtinId="8" hidden="1"/>
    <cellStyle name="Link" xfId="387" builtinId="8" hidden="1"/>
    <cellStyle name="Link" xfId="389" builtinId="8" hidden="1"/>
    <cellStyle name="Link" xfId="391" builtinId="8" hidden="1"/>
    <cellStyle name="Link" xfId="393" builtinId="8" hidden="1"/>
    <cellStyle name="Link" xfId="395" builtinId="8" hidden="1"/>
    <cellStyle name="Link" xfId="397" builtinId="8" hidden="1"/>
    <cellStyle name="Link" xfId="399" builtinId="8" hidden="1"/>
    <cellStyle name="Link" xfId="401" builtinId="8" hidden="1"/>
    <cellStyle name="Link" xfId="403" builtinId="8" hidden="1"/>
    <cellStyle name="Link" xfId="405" builtinId="8" hidden="1"/>
    <cellStyle name="Link" xfId="407" builtinId="8" hidden="1"/>
    <cellStyle name="Link" xfId="409" builtinId="8" hidden="1"/>
    <cellStyle name="Link" xfId="411" builtinId="8" hidden="1"/>
    <cellStyle name="Link" xfId="413" builtinId="8" hidden="1"/>
    <cellStyle name="Link" xfId="415" builtinId="8" hidden="1"/>
    <cellStyle name="Link" xfId="417" builtinId="8" hidden="1"/>
    <cellStyle name="Link" xfId="419" builtinId="8" hidden="1"/>
    <cellStyle name="Link" xfId="421" builtinId="8" hidden="1"/>
    <cellStyle name="Link" xfId="423" builtinId="8" hidden="1"/>
    <cellStyle name="Link" xfId="425" builtinId="8" hidden="1"/>
    <cellStyle name="Link" xfId="427" builtinId="8" hidden="1"/>
    <cellStyle name="Link" xfId="429" builtinId="8" hidden="1"/>
    <cellStyle name="Link" xfId="431" builtinId="8" hidden="1"/>
    <cellStyle name="Link" xfId="433" builtinId="8" hidden="1"/>
    <cellStyle name="Link" xfId="435" builtinId="8" hidden="1"/>
    <cellStyle name="Link" xfId="437" builtinId="8" hidden="1"/>
    <cellStyle name="Link" xfId="439" builtinId="8" hidden="1"/>
    <cellStyle name="Link" xfId="441" builtinId="8" hidden="1"/>
    <cellStyle name="Link" xfId="443" builtinId="8" hidden="1"/>
    <cellStyle name="Link" xfId="445" builtinId="8" hidden="1"/>
    <cellStyle name="Link" xfId="447" builtinId="8" hidden="1"/>
    <cellStyle name="Link" xfId="449" builtinId="8" hidden="1"/>
    <cellStyle name="Link" xfId="451" builtinId="8" hidden="1"/>
    <cellStyle name="Link" xfId="453" builtinId="8" hidden="1"/>
    <cellStyle name="Link" xfId="455" builtinId="8" hidden="1"/>
    <cellStyle name="Link" xfId="457" builtinId="8" hidden="1"/>
    <cellStyle name="Link" xfId="459" builtinId="8" hidden="1"/>
    <cellStyle name="Link" xfId="461" builtinId="8" hidden="1"/>
    <cellStyle name="Link" xfId="463" builtinId="8" hidden="1"/>
    <cellStyle name="Link" xfId="465" builtinId="8" hidden="1"/>
    <cellStyle name="Link" xfId="467" builtinId="8" hidden="1"/>
    <cellStyle name="Link" xfId="469" builtinId="8" hidden="1"/>
    <cellStyle name="Link" xfId="471" builtinId="8" hidden="1"/>
    <cellStyle name="Link" xfId="473" builtinId="8" hidden="1"/>
    <cellStyle name="Link" xfId="475" builtinId="8" hidden="1"/>
    <cellStyle name="Link" xfId="477" builtinId="8" hidden="1"/>
    <cellStyle name="Link" xfId="479" builtinId="8" hidden="1"/>
    <cellStyle name="Link" xfId="481" builtinId="8" hidden="1"/>
    <cellStyle name="Link" xfId="483" builtinId="8" hidden="1"/>
    <cellStyle name="Link" xfId="485" builtinId="8" hidden="1"/>
    <cellStyle name="Link" xfId="487" builtinId="8" hidden="1"/>
    <cellStyle name="Link" xfId="489" builtinId="8" hidden="1"/>
    <cellStyle name="Link" xfId="491" builtinId="8" hidden="1"/>
    <cellStyle name="Link" xfId="493" builtinId="8" hidden="1"/>
    <cellStyle name="Link" xfId="495" builtinId="8" hidden="1"/>
    <cellStyle name="Link" xfId="497" builtinId="8" hidden="1"/>
    <cellStyle name="Link" xfId="499" builtinId="8" hidden="1"/>
    <cellStyle name="Link" xfId="501" builtinId="8" hidden="1"/>
    <cellStyle name="Link" xfId="503" builtinId="8" hidden="1"/>
    <cellStyle name="Link" xfId="505" builtinId="8" hidden="1"/>
    <cellStyle name="Link" xfId="507" builtinId="8" hidden="1"/>
    <cellStyle name="Link" xfId="509" builtinId="8" hidden="1"/>
    <cellStyle name="Link" xfId="511" builtinId="8" hidden="1"/>
    <cellStyle name="Link" xfId="513" builtinId="8" hidden="1"/>
    <cellStyle name="Link" xfId="515" builtinId="8" hidden="1"/>
    <cellStyle name="Link" xfId="517" builtinId="8" hidden="1"/>
    <cellStyle name="Link" xfId="519" builtinId="8" hidden="1"/>
    <cellStyle name="Link" xfId="521" builtinId="8" hidden="1"/>
    <cellStyle name="Link" xfId="523" builtinId="8" hidden="1"/>
    <cellStyle name="Link" xfId="525" builtinId="8" hidden="1"/>
    <cellStyle name="Link" xfId="527" builtinId="8" hidden="1"/>
    <cellStyle name="Link" xfId="529" builtinId="8" hidden="1"/>
    <cellStyle name="Link" xfId="531" builtinId="8" hidden="1"/>
    <cellStyle name="Link" xfId="533" builtinId="8" hidden="1"/>
    <cellStyle name="Link" xfId="535" builtinId="8" hidden="1"/>
    <cellStyle name="Link" xfId="537" builtinId="8" hidden="1"/>
    <cellStyle name="Link" xfId="539" builtinId="8" hidden="1"/>
    <cellStyle name="Link" xfId="541" builtinId="8" hidden="1"/>
    <cellStyle name="Link" xfId="543" builtinId="8" hidden="1"/>
    <cellStyle name="Link" xfId="545" builtinId="8" hidden="1"/>
    <cellStyle name="Link" xfId="547" builtinId="8" hidden="1"/>
    <cellStyle name="Link" xfId="549" builtinId="8" hidden="1"/>
    <cellStyle name="Link" xfId="551" builtinId="8" hidden="1"/>
    <cellStyle name="Link" xfId="553" builtinId="8" hidden="1"/>
    <cellStyle name="Link" xfId="555" builtinId="8" hidden="1"/>
    <cellStyle name="Link" xfId="557" builtinId="8" hidden="1"/>
    <cellStyle name="Link" xfId="559" builtinId="8" hidden="1"/>
    <cellStyle name="Link" xfId="561" builtinId="8" hidden="1"/>
    <cellStyle name="Link" xfId="563" builtinId="8" hidden="1"/>
    <cellStyle name="Link" xfId="565" builtinId="8" hidden="1"/>
    <cellStyle name="Link" xfId="567" builtinId="8" hidden="1"/>
    <cellStyle name="Link" xfId="569" builtinId="8" hidden="1"/>
    <cellStyle name="Link" xfId="571" builtinId="8" hidden="1"/>
    <cellStyle name="Link" xfId="573" builtinId="8" hidden="1"/>
    <cellStyle name="Link" xfId="575" builtinId="8" hidden="1"/>
    <cellStyle name="Link" xfId="577" builtinId="8" hidden="1"/>
    <cellStyle name="Link" xfId="579" builtinId="8" hidden="1"/>
    <cellStyle name="Link" xfId="581" builtinId="8" hidden="1"/>
    <cellStyle name="Link" xfId="583" builtinId="8" hidden="1"/>
    <cellStyle name="Link" xfId="585" builtinId="8" hidden="1"/>
    <cellStyle name="Link" xfId="587" builtinId="8" hidden="1"/>
    <cellStyle name="Link" xfId="589" builtinId="8" hidden="1"/>
    <cellStyle name="Link" xfId="591" builtinId="8" hidden="1"/>
    <cellStyle name="Link" xfId="593" builtinId="8" hidden="1"/>
    <cellStyle name="Link" xfId="595" builtinId="8" hidden="1"/>
    <cellStyle name="Link" xfId="597" builtinId="8" hidden="1"/>
    <cellStyle name="Link" xfId="599" builtinId="8" hidden="1"/>
    <cellStyle name="Link" xfId="601" builtinId="8" hidden="1"/>
    <cellStyle name="Link" xfId="603" builtinId="8" hidden="1"/>
    <cellStyle name="Link" xfId="605" builtinId="8" hidden="1"/>
    <cellStyle name="Link" xfId="607" builtinId="8" hidden="1"/>
    <cellStyle name="Link" xfId="609" builtinId="8" hidden="1"/>
    <cellStyle name="Link" xfId="611" builtinId="8" hidden="1"/>
    <cellStyle name="Link" xfId="613" builtinId="8" hidden="1"/>
    <cellStyle name="Link" xfId="615" builtinId="8" hidden="1"/>
    <cellStyle name="Link" xfId="617" builtinId="8" hidden="1"/>
    <cellStyle name="Link" xfId="619" builtinId="8" hidden="1"/>
    <cellStyle name="Link" xfId="621" builtinId="8" hidden="1"/>
    <cellStyle name="Link" xfId="623" builtinId="8" hidden="1"/>
    <cellStyle name="Link" xfId="625" builtinId="8" hidden="1"/>
    <cellStyle name="Link" xfId="627" builtinId="8" hidden="1"/>
    <cellStyle name="Link" xfId="629" builtinId="8" hidden="1"/>
    <cellStyle name="Link" xfId="631" builtinId="8" hidden="1"/>
    <cellStyle name="Link" xfId="633" builtinId="8" hidden="1"/>
    <cellStyle name="Link" xfId="635" builtinId="8" hidden="1"/>
    <cellStyle name="Link" xfId="637" builtinId="8" hidden="1"/>
    <cellStyle name="Link" xfId="639" builtinId="8" hidden="1"/>
    <cellStyle name="Link" xfId="641" builtinId="8" hidden="1"/>
    <cellStyle name="Link" xfId="643" builtinId="8" hidden="1"/>
    <cellStyle name="Link" xfId="645" builtinId="8" hidden="1"/>
    <cellStyle name="Link" xfId="647" builtinId="8" hidden="1"/>
    <cellStyle name="Link" xfId="649" builtinId="8" hidden="1"/>
    <cellStyle name="Link" xfId="651" builtinId="8" hidden="1"/>
    <cellStyle name="Link" xfId="653" builtinId="8" hidden="1"/>
    <cellStyle name="Link" xfId="655" builtinId="8" hidden="1"/>
    <cellStyle name="Link" xfId="657" builtinId="8" hidden="1"/>
    <cellStyle name="Link" xfId="659" builtinId="8" hidden="1"/>
    <cellStyle name="Link" xfId="661" builtinId="8" hidden="1"/>
    <cellStyle name="Link" xfId="663" builtinId="8" hidden="1"/>
    <cellStyle name="Link" xfId="665" builtinId="8" hidden="1"/>
    <cellStyle name="Link" xfId="667" builtinId="8" hidden="1"/>
    <cellStyle name="Link" xfId="669" builtinId="8" hidden="1"/>
    <cellStyle name="Link" xfId="671" builtinId="8" hidden="1"/>
    <cellStyle name="Link" xfId="673" builtinId="8" hidden="1"/>
    <cellStyle name="Link" xfId="675" builtinId="8" hidden="1"/>
    <cellStyle name="Link" xfId="677" builtinId="8" hidden="1"/>
    <cellStyle name="Link" xfId="679" builtinId="8" hidden="1"/>
    <cellStyle name="Link" xfId="681" builtinId="8" hidden="1"/>
    <cellStyle name="Link" xfId="683" builtinId="8" hidden="1"/>
    <cellStyle name="Link" xfId="685" builtinId="8" hidden="1"/>
    <cellStyle name="Link" xfId="687" builtinId="8" hidden="1"/>
    <cellStyle name="Link" xfId="689" builtinId="8" hidden="1"/>
    <cellStyle name="Link" xfId="691" builtinId="8" hidden="1"/>
    <cellStyle name="Link" xfId="693" builtinId="8" hidden="1"/>
    <cellStyle name="Link" xfId="695" builtinId="8" hidden="1"/>
    <cellStyle name="Link" xfId="697" builtinId="8" hidden="1"/>
    <cellStyle name="Link" xfId="699" builtinId="8" hidden="1"/>
    <cellStyle name="Link" xfId="701" builtinId="8" hidden="1"/>
    <cellStyle name="Link" xfId="703" builtinId="8" hidden="1"/>
    <cellStyle name="Link" xfId="705" builtinId="8" hidden="1"/>
    <cellStyle name="Link" xfId="707" builtinId="8" hidden="1"/>
    <cellStyle name="Link" xfId="710" builtinId="8" hidden="1"/>
    <cellStyle name="Link" xfId="712" builtinId="8" hidden="1"/>
    <cellStyle name="Link" xfId="714" builtinId="8" hidden="1"/>
    <cellStyle name="Link" xfId="716" builtinId="8" hidden="1"/>
    <cellStyle name="Link" xfId="718" builtinId="8" hidden="1"/>
    <cellStyle name="Link" xfId="720" builtinId="8" hidden="1"/>
    <cellStyle name="Link" xfId="722" builtinId="8" hidden="1"/>
    <cellStyle name="Link" xfId="724" builtinId="8" hidden="1"/>
    <cellStyle name="Link" xfId="726" builtinId="8" hidden="1"/>
    <cellStyle name="Link" xfId="728" builtinId="8" hidden="1"/>
    <cellStyle name="Link" xfId="730" builtinId="8" hidden="1"/>
    <cellStyle name="Link" xfId="732" builtinId="8" hidden="1"/>
    <cellStyle name="Link" xfId="734" builtinId="8" hidden="1"/>
    <cellStyle name="Link" xfId="736" builtinId="8" hidden="1"/>
    <cellStyle name="Link" xfId="738" builtinId="8" hidden="1"/>
    <cellStyle name="Link" xfId="740" builtinId="8" hidden="1"/>
    <cellStyle name="Link" xfId="742" builtinId="8" hidden="1"/>
    <cellStyle name="Link" xfId="744" builtinId="8" hidden="1"/>
    <cellStyle name="Link" xfId="746" builtinId="8" hidden="1"/>
    <cellStyle name="Link" xfId="748" builtinId="8" hidden="1"/>
    <cellStyle name="Link" xfId="750" builtinId="8" hidden="1"/>
    <cellStyle name="Link" xfId="752" builtinId="8" hidden="1"/>
    <cellStyle name="Link" xfId="754" builtinId="8" hidden="1"/>
    <cellStyle name="Link" xfId="756" builtinId="8" hidden="1"/>
    <cellStyle name="Link" xfId="758" builtinId="8" hidden="1"/>
    <cellStyle name="Link" xfId="760" builtinId="8" hidden="1"/>
    <cellStyle name="Link" xfId="762" builtinId="8" hidden="1"/>
    <cellStyle name="Link" xfId="764" builtinId="8" hidden="1"/>
    <cellStyle name="Link" xfId="766" builtinId="8" hidden="1"/>
    <cellStyle name="Link" xfId="768" builtinId="8" hidden="1"/>
    <cellStyle name="Link" xfId="770" builtinId="8" hidden="1"/>
    <cellStyle name="Link" xfId="776" builtinId="8" hidden="1"/>
    <cellStyle name="Link" xfId="778" builtinId="8" hidden="1"/>
    <cellStyle name="Link" xfId="780" builtinId="8" hidden="1"/>
    <cellStyle name="Link" xfId="782" builtinId="8" hidden="1"/>
    <cellStyle name="Link" xfId="784" builtinId="8" hidden="1"/>
    <cellStyle name="Link" xfId="786" builtinId="8" hidden="1"/>
    <cellStyle name="Link" xfId="788" builtinId="8" hidden="1"/>
    <cellStyle name="Link" xfId="790" builtinId="8" hidden="1"/>
    <cellStyle name="Link" xfId="792" builtinId="8" hidden="1"/>
    <cellStyle name="Link" xfId="794" builtinId="8" hidden="1"/>
    <cellStyle name="Link" xfId="796" builtinId="8" hidden="1"/>
    <cellStyle name="Link" xfId="798" builtinId="8" hidden="1"/>
    <cellStyle name="Link" xfId="800" builtinId="8" hidden="1"/>
    <cellStyle name="Link" xfId="802" builtinId="8" hidden="1"/>
    <cellStyle name="Link" xfId="804" builtinId="8" hidden="1"/>
    <cellStyle name="Link" xfId="806" builtinId="8" hidden="1"/>
    <cellStyle name="Link" xfId="808" builtinId="8" hidden="1"/>
    <cellStyle name="Link" xfId="810" builtinId="8" hidden="1"/>
    <cellStyle name="Link" xfId="812" builtinId="8" hidden="1"/>
    <cellStyle name="Link" xfId="814" builtinId="8" hidden="1"/>
    <cellStyle name="Link" xfId="816" builtinId="8" hidden="1"/>
    <cellStyle name="Link" xfId="818" builtinId="8" hidden="1"/>
    <cellStyle name="Link" xfId="820" builtinId="8" hidden="1"/>
    <cellStyle name="Link" xfId="822" builtinId="8" hidden="1"/>
    <cellStyle name="Link" xfId="824" builtinId="8" hidden="1"/>
    <cellStyle name="Link" xfId="826" builtinId="8" hidden="1"/>
    <cellStyle name="Link" xfId="828" builtinId="8" hidden="1"/>
    <cellStyle name="Link" xfId="830" builtinId="8" hidden="1"/>
    <cellStyle name="Link" xfId="832" builtinId="8" hidden="1"/>
    <cellStyle name="Link" xfId="834" builtinId="8" hidden="1"/>
    <cellStyle name="Link" xfId="836" builtinId="8" hidden="1"/>
    <cellStyle name="Link" xfId="838" builtinId="8" hidden="1"/>
    <cellStyle name="Link" xfId="840" builtinId="8" hidden="1"/>
    <cellStyle name="Link" xfId="842" builtinId="8" hidden="1"/>
    <cellStyle name="Link" xfId="844" builtinId="8" hidden="1"/>
    <cellStyle name="Link" xfId="846" builtinId="8" hidden="1"/>
    <cellStyle name="Link" xfId="848" builtinId="8" hidden="1"/>
    <cellStyle name="Link" xfId="850" builtinId="8" hidden="1"/>
    <cellStyle name="Link" xfId="852" builtinId="8" hidden="1"/>
    <cellStyle name="Link" xfId="854" builtinId="8" hidden="1"/>
    <cellStyle name="Link" xfId="856" builtinId="8" hidden="1"/>
    <cellStyle name="Link" xfId="858" builtinId="8" hidden="1"/>
    <cellStyle name="Link" xfId="860" builtinId="8" hidden="1"/>
    <cellStyle name="Link" xfId="862" builtinId="8" hidden="1"/>
    <cellStyle name="Link" xfId="864" builtinId="8" hidden="1"/>
    <cellStyle name="Link" xfId="866" builtinId="8" hidden="1"/>
    <cellStyle name="Link" xfId="868" builtinId="8" hidden="1"/>
    <cellStyle name="Link" xfId="870" builtinId="8" hidden="1"/>
    <cellStyle name="Link" xfId="872" builtinId="8" hidden="1"/>
    <cellStyle name="Link" xfId="874" builtinId="8" hidden="1"/>
    <cellStyle name="Link" xfId="876" builtinId="8" hidden="1"/>
    <cellStyle name="Link" xfId="878" builtinId="8" hidden="1"/>
    <cellStyle name="Link" xfId="880" builtinId="8" hidden="1"/>
    <cellStyle name="Link" xfId="882" builtinId="8" hidden="1"/>
    <cellStyle name="Link" xfId="884" builtinId="8" hidden="1"/>
    <cellStyle name="Link" xfId="886" builtinId="8" hidden="1"/>
    <cellStyle name="Link" xfId="888" builtinId="8" hidden="1"/>
    <cellStyle name="Link" xfId="890" builtinId="8" hidden="1"/>
    <cellStyle name="Link" xfId="892" builtinId="8" hidden="1"/>
    <cellStyle name="Link" xfId="894" builtinId="8" hidden="1"/>
    <cellStyle name="Link" xfId="896" builtinId="8" hidden="1"/>
    <cellStyle name="Link" xfId="898" builtinId="8" hidden="1"/>
    <cellStyle name="Link" xfId="900" builtinId="8" hidden="1"/>
    <cellStyle name="Link" xfId="902" builtinId="8" hidden="1"/>
    <cellStyle name="Link" xfId="904" builtinId="8" hidden="1"/>
    <cellStyle name="Link" xfId="906" builtinId="8" hidden="1"/>
    <cellStyle name="Link" xfId="908" builtinId="8" hidden="1"/>
    <cellStyle name="Link" xfId="910" builtinId="8" hidden="1"/>
    <cellStyle name="Link" xfId="912" builtinId="8" hidden="1"/>
    <cellStyle name="Link" xfId="914" builtinId="8" hidden="1"/>
    <cellStyle name="Link" xfId="916" builtinId="8" hidden="1"/>
    <cellStyle name="Link" xfId="918" builtinId="8" hidden="1"/>
    <cellStyle name="Link" xfId="920" builtinId="8" hidden="1"/>
    <cellStyle name="Link" xfId="922" builtinId="8" hidden="1"/>
    <cellStyle name="Link" xfId="924" builtinId="8" hidden="1"/>
    <cellStyle name="Link" xfId="926" builtinId="8" hidden="1"/>
    <cellStyle name="Link" xfId="928" builtinId="8" hidden="1"/>
    <cellStyle name="Link" xfId="930" builtinId="8" hidden="1"/>
    <cellStyle name="Link" xfId="932" builtinId="8" hidden="1"/>
    <cellStyle name="Link" xfId="934" builtinId="8" hidden="1"/>
    <cellStyle name="Link" xfId="936" builtinId="8" hidden="1"/>
    <cellStyle name="Link" xfId="938" builtinId="8" hidden="1"/>
    <cellStyle name="Link" xfId="940" builtinId="8" hidden="1"/>
    <cellStyle name="Link" xfId="942" builtinId="8" hidden="1"/>
    <cellStyle name="Link" xfId="944" builtinId="8" hidden="1"/>
    <cellStyle name="Link" xfId="946" builtinId="8" hidden="1"/>
    <cellStyle name="Link" xfId="948" builtinId="8" hidden="1"/>
    <cellStyle name="Link" xfId="950" builtinId="8" hidden="1"/>
    <cellStyle name="Link" xfId="952" builtinId="8" hidden="1"/>
    <cellStyle name="Link" xfId="954" builtinId="8" hidden="1"/>
    <cellStyle name="Link" xfId="956" builtinId="8" hidden="1"/>
    <cellStyle name="Link" xfId="958" builtinId="8" hidden="1"/>
    <cellStyle name="Link" xfId="960" builtinId="8" hidden="1"/>
    <cellStyle name="Link" xfId="962" builtinId="8" hidden="1"/>
    <cellStyle name="Link" xfId="964" builtinId="8" hidden="1"/>
    <cellStyle name="Link" xfId="966" builtinId="8" hidden="1"/>
    <cellStyle name="Link" xfId="968" builtinId="8" hidden="1"/>
    <cellStyle name="Link" xfId="970" builtinId="8" hidden="1"/>
    <cellStyle name="Link" xfId="972" builtinId="8" hidden="1"/>
    <cellStyle name="Link" xfId="974" builtinId="8" hidden="1"/>
    <cellStyle name="Link" xfId="976" builtinId="8" hidden="1"/>
    <cellStyle name="Link" xfId="978" builtinId="8" hidden="1"/>
    <cellStyle name="Link" xfId="980" builtinId="8" hidden="1"/>
    <cellStyle name="Link" xfId="982" builtinId="8" hidden="1"/>
    <cellStyle name="Link" xfId="984" builtinId="8" hidden="1"/>
    <cellStyle name="Link" xfId="986" builtinId="8" hidden="1"/>
    <cellStyle name="Link" xfId="988" builtinId="8" hidden="1"/>
    <cellStyle name="Link" xfId="990" builtinId="8" hidden="1"/>
    <cellStyle name="Link" xfId="992" builtinId="8" hidden="1"/>
    <cellStyle name="Link" xfId="994" builtinId="8" hidden="1"/>
    <cellStyle name="Link" xfId="996" builtinId="8" hidden="1"/>
    <cellStyle name="Link" xfId="998" builtinId="8" hidden="1"/>
    <cellStyle name="Link" xfId="1000" builtinId="8" hidden="1"/>
    <cellStyle name="Link" xfId="1002" builtinId="8" hidden="1"/>
    <cellStyle name="Link" xfId="1004" builtinId="8" hidden="1"/>
    <cellStyle name="Link" xfId="1006" builtinId="8" hidden="1"/>
    <cellStyle name="Link" xfId="1008" builtinId="8" hidden="1"/>
    <cellStyle name="Link" xfId="1010" builtinId="8" hidden="1"/>
    <cellStyle name="Link" xfId="1012" builtinId="8" hidden="1"/>
    <cellStyle name="Link" xfId="1014" builtinId="8" hidden="1"/>
    <cellStyle name="Link" xfId="1016" builtinId="8" hidden="1"/>
    <cellStyle name="Link" xfId="1018" builtinId="8" hidden="1"/>
    <cellStyle name="Link" xfId="1020" builtinId="8" hidden="1"/>
    <cellStyle name="Link" xfId="1022" builtinId="8" hidden="1"/>
    <cellStyle name="Link" xfId="1024" builtinId="8" hidden="1"/>
    <cellStyle name="Link" xfId="1026" builtinId="8" hidden="1"/>
    <cellStyle name="Link" xfId="1028" builtinId="8" hidden="1"/>
    <cellStyle name="Link" xfId="1030" builtinId="8" hidden="1"/>
    <cellStyle name="Link" xfId="1032" builtinId="8" hidden="1"/>
    <cellStyle name="Link" xfId="1034" builtinId="8" hidden="1"/>
    <cellStyle name="Link" xfId="1036" builtinId="8" hidden="1"/>
    <cellStyle name="Link" xfId="1038" builtinId="8" hidden="1"/>
    <cellStyle name="Link" xfId="1040" builtinId="8" hidden="1"/>
    <cellStyle name="Link" xfId="1042" builtinId="8" hidden="1"/>
    <cellStyle name="Link" xfId="1044" builtinId="8" hidden="1"/>
    <cellStyle name="Link" xfId="1046" builtinId="8" hidden="1"/>
    <cellStyle name="Link" xfId="1048" builtinId="8" hidden="1"/>
    <cellStyle name="Link" xfId="1050" builtinId="8" hidden="1"/>
    <cellStyle name="Link" xfId="1052" builtinId="8" hidden="1"/>
    <cellStyle name="Link" xfId="1054" builtinId="8" hidden="1"/>
    <cellStyle name="Link" xfId="1056" builtinId="8" hidden="1"/>
    <cellStyle name="Link" xfId="1058" builtinId="8" hidden="1"/>
    <cellStyle name="Link" xfId="1060" builtinId="8" hidden="1"/>
    <cellStyle name="Link" xfId="1062" builtinId="8" hidden="1"/>
    <cellStyle name="Link" xfId="1064" builtinId="8" hidden="1"/>
    <cellStyle name="Link" xfId="1066" builtinId="8" hidden="1"/>
    <cellStyle name="Link" xfId="1068" builtinId="8" hidden="1"/>
    <cellStyle name="Link" xfId="1070" builtinId="8" hidden="1"/>
    <cellStyle name="Link" xfId="1072" builtinId="8" hidden="1"/>
    <cellStyle name="Link" xfId="1074" builtinId="8" hidden="1"/>
    <cellStyle name="Link" xfId="1076" builtinId="8" hidden="1"/>
    <cellStyle name="Link" xfId="1078" builtinId="8" hidden="1"/>
    <cellStyle name="Link" xfId="1080" builtinId="8" hidden="1"/>
    <cellStyle name="Link" xfId="1082" builtinId="8" hidden="1"/>
    <cellStyle name="Link" xfId="1084" builtinId="8" hidden="1"/>
    <cellStyle name="Link" xfId="1086" builtinId="8" hidden="1"/>
    <cellStyle name="Link" xfId="1088" builtinId="8" hidden="1"/>
    <cellStyle name="Link" xfId="1090" builtinId="8" hidden="1"/>
    <cellStyle name="Link" xfId="1092" builtinId="8" hidden="1"/>
    <cellStyle name="Link" xfId="1094" builtinId="8" hidden="1"/>
    <cellStyle name="Link" xfId="1096" builtinId="8" hidden="1"/>
    <cellStyle name="Link" xfId="1098" builtinId="8" hidden="1"/>
    <cellStyle name="Link" xfId="1100" builtinId="8" hidden="1"/>
    <cellStyle name="Link" xfId="1102" builtinId="8" hidden="1"/>
    <cellStyle name="Link" xfId="1104" builtinId="8" hidden="1"/>
    <cellStyle name="Link" xfId="1106" builtinId="8" hidden="1"/>
    <cellStyle name="Link" xfId="1108" builtinId="8" hidden="1"/>
    <cellStyle name="Link" xfId="1110" builtinId="8" hidden="1"/>
    <cellStyle name="Link" xfId="1112" builtinId="8" hidden="1"/>
    <cellStyle name="Link" xfId="1114" builtinId="8" hidden="1"/>
    <cellStyle name="Link" xfId="1116" builtinId="8" hidden="1"/>
    <cellStyle name="Link" xfId="1118" builtinId="8" hidden="1"/>
    <cellStyle name="Link" xfId="1120" builtinId="8" hidden="1"/>
    <cellStyle name="Link" xfId="1122" builtinId="8" hidden="1"/>
    <cellStyle name="Link" xfId="1124" builtinId="8" hidden="1"/>
    <cellStyle name="Link" xfId="1126" builtinId="8" hidden="1"/>
    <cellStyle name="Link" xfId="1128" builtinId="8" hidden="1"/>
    <cellStyle name="Link" xfId="1130" builtinId="8" hidden="1"/>
    <cellStyle name="Link" xfId="1132" builtinId="8" hidden="1"/>
    <cellStyle name="Link" xfId="1134" builtinId="8" hidden="1"/>
    <cellStyle name="Link" xfId="1136" builtinId="8" hidden="1"/>
    <cellStyle name="Link" xfId="1138" builtinId="8" hidden="1"/>
    <cellStyle name="Link" xfId="1140" builtinId="8" hidden="1"/>
    <cellStyle name="Link" xfId="1142" builtinId="8" hidden="1"/>
    <cellStyle name="Link" xfId="1144" builtinId="8" hidden="1"/>
    <cellStyle name="Link" xfId="1146" builtinId="8" hidden="1"/>
    <cellStyle name="Link" xfId="1148" builtinId="8" hidden="1"/>
    <cellStyle name="Link" xfId="1150" builtinId="8" hidden="1"/>
    <cellStyle name="Link" xfId="1152" builtinId="8" hidden="1"/>
    <cellStyle name="Link" xfId="1154" builtinId="8" hidden="1"/>
    <cellStyle name="Link" xfId="1156" builtinId="8" hidden="1"/>
    <cellStyle name="Link" xfId="1158" builtinId="8" hidden="1"/>
    <cellStyle name="Link" xfId="1160" builtinId="8" hidden="1"/>
    <cellStyle name="Link" xfId="1162" builtinId="8" hidden="1"/>
    <cellStyle name="Link" xfId="1164" builtinId="8" hidden="1"/>
    <cellStyle name="Link" xfId="1166" builtinId="8" hidden="1"/>
    <cellStyle name="Link" xfId="1168" builtinId="8" hidden="1"/>
    <cellStyle name="Link" xfId="1170" builtinId="8" hidden="1"/>
    <cellStyle name="Link" xfId="1172" builtinId="8" hidden="1"/>
    <cellStyle name="Link" xfId="1174" builtinId="8" hidden="1"/>
    <cellStyle name="Link" xfId="1176" builtinId="8" hidden="1"/>
    <cellStyle name="Link" xfId="1178" builtinId="8" hidden="1"/>
    <cellStyle name="Link" xfId="1180" builtinId="8" hidden="1"/>
    <cellStyle name="Link" xfId="1182" builtinId="8" hidden="1"/>
    <cellStyle name="Link" xfId="1184" builtinId="8" hidden="1"/>
    <cellStyle name="Link" xfId="1186" builtinId="8" hidden="1"/>
    <cellStyle name="Link" xfId="1188" builtinId="8" hidden="1"/>
    <cellStyle name="Link" xfId="1190" builtinId="8" hidden="1"/>
    <cellStyle name="Link" xfId="1192" builtinId="8" hidden="1"/>
    <cellStyle name="Link" xfId="1194" builtinId="8" hidden="1"/>
    <cellStyle name="Link" xfId="1196" builtinId="8" hidden="1"/>
    <cellStyle name="Link" xfId="1198" builtinId="8" hidden="1"/>
    <cellStyle name="Link" xfId="1200" builtinId="8" hidden="1"/>
    <cellStyle name="Link" xfId="1202" builtinId="8" hidden="1"/>
    <cellStyle name="Link" xfId="1204" builtinId="8" hidden="1"/>
    <cellStyle name="Link" xfId="1206" builtinId="8" hidden="1"/>
    <cellStyle name="Link" xfId="1208" builtinId="8" hidden="1"/>
    <cellStyle name="Link" xfId="1210" builtinId="8" hidden="1"/>
    <cellStyle name="Link" xfId="1212" builtinId="8" hidden="1"/>
    <cellStyle name="Link" xfId="1214" builtinId="8" hidden="1"/>
    <cellStyle name="Link" xfId="1216" builtinId="8" hidden="1"/>
    <cellStyle name="Link" xfId="1218" builtinId="8" hidden="1"/>
    <cellStyle name="Link" xfId="1220" builtinId="8" hidden="1"/>
    <cellStyle name="Link" xfId="1222" builtinId="8" hidden="1"/>
    <cellStyle name="Link" xfId="1224" builtinId="8" hidden="1"/>
    <cellStyle name="Link" xfId="1226" builtinId="8" hidden="1"/>
    <cellStyle name="Link" xfId="1228" builtinId="8" hidden="1"/>
    <cellStyle name="Link" xfId="1230" builtinId="8" hidden="1"/>
    <cellStyle name="Link" xfId="1232" builtinId="8" hidden="1"/>
    <cellStyle name="Link" xfId="1234" builtinId="8" hidden="1"/>
    <cellStyle name="Link" xfId="1236" builtinId="8" hidden="1"/>
    <cellStyle name="Link" xfId="1238" builtinId="8" hidden="1"/>
    <cellStyle name="Link" xfId="1240" builtinId="8" hidden="1"/>
    <cellStyle name="Link" xfId="1242" builtinId="8" hidden="1"/>
    <cellStyle name="Link" xfId="1244" builtinId="8" hidden="1"/>
    <cellStyle name="Link" xfId="1246" builtinId="8" hidden="1"/>
    <cellStyle name="Link" xfId="1248" builtinId="8" hidden="1"/>
    <cellStyle name="Link" xfId="1250" builtinId="8" hidden="1"/>
    <cellStyle name="Link" xfId="1252" builtinId="8" hidden="1"/>
    <cellStyle name="Link" xfId="1254" builtinId="8" hidden="1"/>
    <cellStyle name="Link" xfId="1256" builtinId="8" hidden="1"/>
    <cellStyle name="Link" xfId="1258" builtinId="8" hidden="1"/>
    <cellStyle name="Link" xfId="1260" builtinId="8" hidden="1"/>
    <cellStyle name="Link" xfId="1262" builtinId="8" hidden="1"/>
    <cellStyle name="Link" xfId="1264" builtinId="8" hidden="1"/>
    <cellStyle name="Link" xfId="1266" builtinId="8" hidden="1"/>
    <cellStyle name="Link" xfId="1268" builtinId="8" hidden="1"/>
    <cellStyle name="Link" xfId="1270" builtinId="8" hidden="1"/>
    <cellStyle name="Link" xfId="1272" builtinId="8" hidden="1"/>
    <cellStyle name="Link" xfId="1274" builtinId="8" hidden="1"/>
    <cellStyle name="Link" xfId="1276" builtinId="8" hidden="1"/>
    <cellStyle name="Link" xfId="1278" builtinId="8" hidden="1"/>
    <cellStyle name="Link" xfId="1280" builtinId="8" hidden="1"/>
    <cellStyle name="Link" xfId="1282" builtinId="8" hidden="1"/>
    <cellStyle name="Link" xfId="1284" builtinId="8" hidden="1"/>
    <cellStyle name="Link" xfId="1286" builtinId="8" hidden="1"/>
    <cellStyle name="Link" xfId="1288" builtinId="8" hidden="1"/>
    <cellStyle name="Link" xfId="1290" builtinId="8" hidden="1"/>
    <cellStyle name="Link" xfId="1292" builtinId="8" hidden="1"/>
    <cellStyle name="Link" xfId="1294" builtinId="8" hidden="1"/>
    <cellStyle name="Link" xfId="1296" builtinId="8" hidden="1"/>
    <cellStyle name="Link" xfId="1298" builtinId="8" hidden="1"/>
    <cellStyle name="Link" xfId="1300" builtinId="8" hidden="1"/>
    <cellStyle name="Link" xfId="1302" builtinId="8" hidden="1"/>
    <cellStyle name="Link" xfId="1304" builtinId="8" hidden="1"/>
    <cellStyle name="Link" xfId="1306" builtinId="8" hidden="1"/>
    <cellStyle name="Link" xfId="1308" builtinId="8" hidden="1"/>
    <cellStyle name="Link" xfId="1310" builtinId="8" hidden="1"/>
    <cellStyle name="Link" xfId="1312" builtinId="8" hidden="1"/>
    <cellStyle name="Link" xfId="1314" builtinId="8" hidden="1"/>
    <cellStyle name="Link" xfId="1316" builtinId="8" hidden="1"/>
    <cellStyle name="Link" xfId="1318" builtinId="8" hidden="1"/>
    <cellStyle name="Link" xfId="1320" builtinId="8" hidden="1"/>
    <cellStyle name="Link" xfId="1322" builtinId="8" hidden="1"/>
    <cellStyle name="Link" xfId="1324" builtinId="8" hidden="1"/>
    <cellStyle name="Link" xfId="1326" builtinId="8" hidden="1"/>
    <cellStyle name="Link" xfId="1328" builtinId="8" hidden="1"/>
    <cellStyle name="Link" xfId="1330" builtinId="8" hidden="1"/>
    <cellStyle name="Link" xfId="1332" builtinId="8" hidden="1"/>
    <cellStyle name="Link" xfId="1334" builtinId="8" hidden="1"/>
    <cellStyle name="Link" xfId="1336" builtinId="8" hidden="1"/>
    <cellStyle name="Link" xfId="1338" builtinId="8" hidden="1"/>
    <cellStyle name="Link" xfId="1340" builtinId="8" hidden="1"/>
    <cellStyle name="Link" xfId="1342" builtinId="8" hidden="1"/>
    <cellStyle name="Link" xfId="1344" builtinId="8" hidden="1"/>
    <cellStyle name="Link" xfId="1346" builtinId="8" hidden="1"/>
    <cellStyle name="Link" xfId="1348" builtinId="8" hidden="1"/>
    <cellStyle name="Link" xfId="1350" builtinId="8" hidden="1"/>
    <cellStyle name="Link" xfId="1352" builtinId="8" hidden="1"/>
    <cellStyle name="Link" xfId="1354" builtinId="8" hidden="1"/>
    <cellStyle name="Link" xfId="1356" builtinId="8" hidden="1"/>
    <cellStyle name="Link" xfId="1358" builtinId="8" hidden="1"/>
    <cellStyle name="Link" xfId="1360" builtinId="8" hidden="1"/>
    <cellStyle name="Link" xfId="1362" builtinId="8" hidden="1"/>
    <cellStyle name="Link" xfId="1364" builtinId="8" hidden="1"/>
    <cellStyle name="Link" xfId="1366" builtinId="8" hidden="1"/>
    <cellStyle name="Link" xfId="1368" builtinId="8" hidden="1"/>
    <cellStyle name="Link" xfId="1370" builtinId="8" hidden="1"/>
    <cellStyle name="Link" xfId="1372" builtinId="8" hidden="1"/>
    <cellStyle name="Link" xfId="1374" builtinId="8" hidden="1"/>
    <cellStyle name="Link" xfId="1376" builtinId="8" hidden="1"/>
    <cellStyle name="Link" xfId="1378" builtinId="8" hidden="1"/>
    <cellStyle name="Link" xfId="1380" builtinId="8" hidden="1"/>
    <cellStyle name="Link" xfId="1382" builtinId="8" hidden="1"/>
    <cellStyle name="Link" xfId="1384" builtinId="8" hidden="1"/>
    <cellStyle name="Link" xfId="1386" builtinId="8" hidden="1"/>
    <cellStyle name="Link" xfId="1388" builtinId="8" hidden="1"/>
    <cellStyle name="Link" xfId="1390" builtinId="8" hidden="1"/>
    <cellStyle name="Link" xfId="1392" builtinId="8" hidden="1"/>
    <cellStyle name="Link" xfId="1394" builtinId="8" hidden="1"/>
    <cellStyle name="Link" xfId="1396" builtinId="8" hidden="1"/>
    <cellStyle name="Link" xfId="1398" builtinId="8" hidden="1"/>
    <cellStyle name="Link" xfId="1400" builtinId="8" hidden="1"/>
    <cellStyle name="Link" xfId="1402" builtinId="8" hidden="1"/>
    <cellStyle name="Link" xfId="1404" builtinId="8" hidden="1"/>
    <cellStyle name="Link" xfId="1406" builtinId="8" hidden="1"/>
    <cellStyle name="Link" xfId="1408" builtinId="8" hidden="1"/>
    <cellStyle name="Link" xfId="1410" builtinId="8" hidden="1"/>
    <cellStyle name="Link" xfId="1412" builtinId="8" hidden="1"/>
    <cellStyle name="Link" xfId="1414" builtinId="8" hidden="1"/>
    <cellStyle name="Link" xfId="1416" builtinId="8" hidden="1"/>
    <cellStyle name="Link" xfId="1418" builtinId="8" hidden="1"/>
    <cellStyle name="Link" xfId="1420" builtinId="8" hidden="1"/>
    <cellStyle name="Link" xfId="1422" builtinId="8" hidden="1"/>
    <cellStyle name="Link" xfId="1424" builtinId="8" hidden="1"/>
    <cellStyle name="Link" xfId="1426" builtinId="8" hidden="1"/>
    <cellStyle name="Link" xfId="1428" builtinId="8" hidden="1"/>
    <cellStyle name="Link" xfId="1430" builtinId="8" hidden="1"/>
    <cellStyle name="Link" xfId="1432" builtinId="8" hidden="1"/>
    <cellStyle name="Link" xfId="1434" builtinId="8" hidden="1"/>
    <cellStyle name="Link" xfId="1436" builtinId="8" hidden="1"/>
    <cellStyle name="Link" xfId="1438" builtinId="8" hidden="1"/>
    <cellStyle name="Link" xfId="1440" builtinId="8" hidden="1"/>
    <cellStyle name="Link" xfId="1442" builtinId="8" hidden="1"/>
    <cellStyle name="Link" xfId="1444" builtinId="8" hidden="1"/>
    <cellStyle name="Link" xfId="1446" builtinId="8" hidden="1"/>
    <cellStyle name="Link" xfId="1448" builtinId="8" hidden="1"/>
    <cellStyle name="Link" xfId="1450" builtinId="8" hidden="1"/>
    <cellStyle name="Link" xfId="1452" builtinId="8" hidden="1"/>
    <cellStyle name="Link" xfId="1454" builtinId="8" hidden="1"/>
    <cellStyle name="Link" xfId="1456" builtinId="8" hidden="1"/>
    <cellStyle name="Link" xfId="1458" builtinId="8" hidden="1"/>
    <cellStyle name="Link" xfId="1460" builtinId="8" hidden="1"/>
    <cellStyle name="Link" xfId="1462" builtinId="8" hidden="1"/>
    <cellStyle name="Link" xfId="1464" builtinId="8" hidden="1"/>
    <cellStyle name="Link" xfId="1466" builtinId="8" hidden="1"/>
    <cellStyle name="Link" xfId="1468" builtinId="8" hidden="1"/>
    <cellStyle name="Link" xfId="1470" builtinId="8"/>
    <cellStyle name="Normal" xfId="0" builtinId="0"/>
    <cellStyle name="Normal 2" xfId="709" xr:uid="{00000000-0005-0000-0000-0000BB050000}"/>
    <cellStyle name="Procent 2" xfId="774" xr:uid="{00000000-0005-0000-0000-0000BC050000}"/>
    <cellStyle name="Valuta 2" xfId="775" xr:uid="{00000000-0005-0000-0000-0000BD0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346075</xdr:colOff>
      <xdr:row>20</xdr:row>
      <xdr:rowOff>38103</xdr:rowOff>
    </xdr:from>
    <xdr:to>
      <xdr:col>4</xdr:col>
      <xdr:colOff>1057275</xdr:colOff>
      <xdr:row>21</xdr:row>
      <xdr:rowOff>980</xdr:rowOff>
    </xdr:to>
    <xdr:pic>
      <xdr:nvPicPr>
        <xdr:cNvPr id="7" name="Billed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3813175" y="6057903"/>
          <a:ext cx="711200" cy="547077"/>
        </a:xfrm>
        <a:prstGeom prst="rect">
          <a:avLst/>
        </a:prstGeom>
      </xdr:spPr>
    </xdr:pic>
    <xdr:clientData/>
  </xdr:twoCellAnchor>
  <xdr:twoCellAnchor editAs="oneCell">
    <xdr:from>
      <xdr:col>4</xdr:col>
      <xdr:colOff>190500</xdr:colOff>
      <xdr:row>19</xdr:row>
      <xdr:rowOff>164211</xdr:rowOff>
    </xdr:from>
    <xdr:to>
      <xdr:col>4</xdr:col>
      <xdr:colOff>1242095</xdr:colOff>
      <xdr:row>19</xdr:row>
      <xdr:rowOff>444500</xdr:rowOff>
    </xdr:to>
    <xdr:pic>
      <xdr:nvPicPr>
        <xdr:cNvPr id="9" name="Billede 8" descr="logo 4 farvet jpg.jpg">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57600" y="5599811"/>
          <a:ext cx="1051595" cy="280289"/>
        </a:xfrm>
        <a:prstGeom prst="rect">
          <a:avLst/>
        </a:prstGeom>
      </xdr:spPr>
    </xdr:pic>
    <xdr:clientData/>
  </xdr:twoCellAnchor>
  <xdr:twoCellAnchor editAs="oneCell">
    <xdr:from>
      <xdr:col>4</xdr:col>
      <xdr:colOff>444500</xdr:colOff>
      <xdr:row>21</xdr:row>
      <xdr:rowOff>38100</xdr:rowOff>
    </xdr:from>
    <xdr:to>
      <xdr:col>4</xdr:col>
      <xdr:colOff>1066799</xdr:colOff>
      <xdr:row>23</xdr:row>
      <xdr:rowOff>222721</xdr:rowOff>
    </xdr:to>
    <xdr:pic>
      <xdr:nvPicPr>
        <xdr:cNvPr id="10" name="Billed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911600" y="5842000"/>
          <a:ext cx="622299" cy="552921"/>
        </a:xfrm>
        <a:prstGeom prst="rect">
          <a:avLst/>
        </a:prstGeom>
      </xdr:spPr>
    </xdr:pic>
    <xdr:clientData/>
  </xdr:twoCellAnchor>
  <xdr:twoCellAnchor editAs="oneCell">
    <xdr:from>
      <xdr:col>4</xdr:col>
      <xdr:colOff>36988</xdr:colOff>
      <xdr:row>24</xdr:row>
      <xdr:rowOff>79671</xdr:rowOff>
    </xdr:from>
    <xdr:to>
      <xdr:col>4</xdr:col>
      <xdr:colOff>1511300</xdr:colOff>
      <xdr:row>27</xdr:row>
      <xdr:rowOff>50800</xdr:rowOff>
    </xdr:to>
    <xdr:pic>
      <xdr:nvPicPr>
        <xdr:cNvPr id="8" name="Billed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504088" y="7661571"/>
          <a:ext cx="1474312" cy="542629"/>
        </a:xfrm>
        <a:prstGeom prst="rect">
          <a:avLst/>
        </a:prstGeom>
      </xdr:spPr>
    </xdr:pic>
    <xdr:clientData/>
  </xdr:twoCellAnchor>
  <xdr:twoCellAnchor editAs="oneCell">
    <xdr:from>
      <xdr:col>5</xdr:col>
      <xdr:colOff>206611</xdr:colOff>
      <xdr:row>19</xdr:row>
      <xdr:rowOff>65760</xdr:rowOff>
    </xdr:from>
    <xdr:to>
      <xdr:col>8</xdr:col>
      <xdr:colOff>241300</xdr:colOff>
      <xdr:row>20</xdr:row>
      <xdr:rowOff>197611</xdr:rowOff>
    </xdr:to>
    <xdr:pic>
      <xdr:nvPicPr>
        <xdr:cNvPr id="3" name="Bille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197711" y="5882360"/>
          <a:ext cx="1876189" cy="71605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L&#216;N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undlon12"/>
      <sheetName val="Pæd"/>
      <sheetName val="timelon"/>
      <sheetName val="aarslon"/>
      <sheetName val="mdslon"/>
      <sheetName val="natpenge og tillæg"/>
      <sheetName val="Klassificering 09"/>
      <sheetName val="Uv.till."/>
      <sheetName val="intervalløn"/>
      <sheetName val="ATP"/>
      <sheetName val="Løn&amp;arb.tid"/>
    </sheetNames>
    <sheetDataSet>
      <sheetData sheetId="0"/>
      <sheetData sheetId="1"/>
      <sheetData sheetId="2"/>
      <sheetData sheetId="3">
        <row r="1">
          <cell r="A1">
            <v>1.7162E-2</v>
          </cell>
        </row>
      </sheetData>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Kontor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friskoler.dk/vaerktoejer/oekonomi-og-loen/loen/loen-til-skoleleder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65"/>
  <sheetViews>
    <sheetView tabSelected="1" workbookViewId="0">
      <selection activeCell="A9" sqref="A9:I9"/>
    </sheetView>
  </sheetViews>
  <sheetFormatPr baseColWidth="10" defaultColWidth="8.83203125" defaultRowHeight="15"/>
  <cols>
    <col min="1" max="1" width="29.1640625" style="36" customWidth="1"/>
    <col min="2" max="2" width="16.33203125" customWidth="1"/>
    <col min="3" max="3" width="24.33203125" hidden="1" customWidth="1"/>
    <col min="4" max="4" width="9.6640625" hidden="1" customWidth="1"/>
    <col min="5" max="5" width="20" bestFit="1" customWidth="1"/>
    <col min="6" max="6" width="4.6640625" customWidth="1"/>
    <col min="7" max="7" width="8.83203125" customWidth="1"/>
    <col min="8" max="8" width="10.6640625" customWidth="1"/>
    <col min="9" max="9" width="6.5" customWidth="1"/>
  </cols>
  <sheetData>
    <row r="1" spans="1:21" ht="35" customHeight="1">
      <c r="A1" s="1075"/>
      <c r="B1" s="1075"/>
      <c r="C1" s="1075"/>
      <c r="D1" s="1075"/>
      <c r="E1" s="1075"/>
      <c r="F1" s="1075"/>
      <c r="G1" s="1075"/>
      <c r="H1" s="1075"/>
      <c r="I1" s="1075"/>
    </row>
    <row r="2" spans="1:21" ht="30" customHeight="1">
      <c r="A2" s="1068"/>
      <c r="B2" s="1068"/>
      <c r="C2" s="1068"/>
      <c r="D2" s="1068"/>
      <c r="E2" s="1068"/>
      <c r="F2" s="1068"/>
      <c r="G2" s="1068"/>
      <c r="H2" s="1068"/>
      <c r="I2" s="1068"/>
    </row>
    <row r="3" spans="1:21" ht="37" customHeight="1">
      <c r="A3" s="1076" t="s">
        <v>83</v>
      </c>
      <c r="B3" s="1076"/>
      <c r="C3" s="1076"/>
      <c r="D3" s="1076"/>
      <c r="E3" s="1076"/>
      <c r="F3" s="1076"/>
      <c r="G3" s="1076"/>
      <c r="H3" s="1076"/>
      <c r="I3" s="1076"/>
      <c r="M3" s="1073"/>
      <c r="N3" s="1074"/>
      <c r="O3" s="1074"/>
      <c r="P3" s="1074"/>
      <c r="Q3" s="1074"/>
      <c r="R3" s="1074"/>
      <c r="S3" s="1074"/>
      <c r="T3" s="1074"/>
      <c r="U3" s="1074"/>
    </row>
    <row r="4" spans="1:21" ht="26" customHeight="1">
      <c r="A4" s="1076" t="s">
        <v>465</v>
      </c>
      <c r="B4" s="1076"/>
      <c r="C4" s="1076"/>
      <c r="D4" s="1076"/>
      <c r="E4" s="1076"/>
      <c r="F4" s="1076"/>
      <c r="G4" s="1076"/>
      <c r="H4" s="1076"/>
      <c r="I4" s="1076"/>
    </row>
    <row r="5" spans="1:21" s="33" customFormat="1" ht="14" customHeight="1">
      <c r="A5" s="1079"/>
      <c r="B5" s="1079"/>
      <c r="C5" s="1079"/>
      <c r="D5" s="1079"/>
      <c r="E5" s="1079"/>
      <c r="F5" s="1079"/>
      <c r="G5" s="1079"/>
      <c r="H5" s="1079"/>
      <c r="I5" s="1079"/>
    </row>
    <row r="6" spans="1:21" s="33" customFormat="1" ht="21" customHeight="1">
      <c r="A6" s="1055" t="s">
        <v>501</v>
      </c>
      <c r="B6" s="1055"/>
      <c r="C6" s="1055"/>
      <c r="D6" s="1055"/>
      <c r="E6" s="1055"/>
      <c r="F6" s="1055"/>
      <c r="G6" s="1055"/>
      <c r="H6" s="1055"/>
      <c r="I6" s="1055"/>
    </row>
    <row r="7" spans="1:21" s="33" customFormat="1" ht="36.75" customHeight="1">
      <c r="A7" s="1055" t="s">
        <v>502</v>
      </c>
      <c r="B7" s="1055"/>
      <c r="C7" s="1055"/>
      <c r="D7" s="1055"/>
      <c r="E7" s="1055"/>
      <c r="F7" s="1055"/>
      <c r="G7" s="1055"/>
      <c r="H7" s="1055"/>
      <c r="I7" s="1055"/>
    </row>
    <row r="8" spans="1:21" ht="18" customHeight="1">
      <c r="A8" s="1059" t="s">
        <v>539</v>
      </c>
      <c r="B8" s="1059"/>
      <c r="C8" s="1059"/>
      <c r="D8" s="1059"/>
      <c r="E8" s="1059"/>
      <c r="F8" s="1059"/>
      <c r="G8" s="1059"/>
      <c r="H8" s="1059"/>
      <c r="I8" s="1059"/>
    </row>
    <row r="9" spans="1:21" ht="18" customHeight="1">
      <c r="A9" s="1059"/>
      <c r="B9" s="1059"/>
      <c r="C9" s="1059"/>
      <c r="D9" s="1059"/>
      <c r="E9" s="1059"/>
      <c r="F9" s="1059"/>
      <c r="G9" s="1059"/>
      <c r="H9" s="1059"/>
      <c r="I9" s="1059"/>
    </row>
    <row r="10" spans="1:21" ht="16" customHeight="1">
      <c r="A10" s="1056"/>
      <c r="B10" s="1057"/>
      <c r="C10" s="1057"/>
      <c r="D10" s="1057"/>
      <c r="E10" s="1057"/>
      <c r="F10" s="1057"/>
      <c r="G10" s="1057"/>
      <c r="H10" s="1057"/>
      <c r="I10" s="1057"/>
    </row>
    <row r="11" spans="1:21" ht="18" customHeight="1">
      <c r="A11" s="1053" t="s">
        <v>493</v>
      </c>
      <c r="B11" s="1054"/>
      <c r="C11" s="1054"/>
      <c r="D11" s="1054"/>
      <c r="E11" s="1054"/>
      <c r="F11" s="1054"/>
      <c r="G11" s="1054"/>
      <c r="H11" s="1054"/>
      <c r="I11" s="1054"/>
    </row>
    <row r="12" spans="1:21" ht="33" customHeight="1">
      <c r="A12" s="1060" t="s">
        <v>535</v>
      </c>
      <c r="B12" s="1060"/>
      <c r="C12" s="1060"/>
      <c r="D12" s="1060"/>
      <c r="E12" s="1060"/>
      <c r="F12" s="1060"/>
      <c r="G12" s="1060"/>
      <c r="H12" s="1060"/>
      <c r="I12" s="1060"/>
    </row>
    <row r="13" spans="1:21" ht="67" customHeight="1">
      <c r="A13" s="1060" t="s">
        <v>536</v>
      </c>
      <c r="B13" s="1060"/>
      <c r="C13" s="1060"/>
      <c r="D13" s="1060"/>
      <c r="E13" s="1060"/>
      <c r="F13" s="1060"/>
      <c r="G13" s="1060"/>
      <c r="H13" s="1060"/>
      <c r="I13" s="1060"/>
    </row>
    <row r="14" spans="1:21" ht="18" customHeight="1">
      <c r="A14" s="1060" t="s">
        <v>537</v>
      </c>
      <c r="B14" s="1060"/>
      <c r="C14" s="1060"/>
      <c r="D14" s="1060"/>
      <c r="E14" s="1060"/>
      <c r="F14" s="1060"/>
      <c r="G14" s="1060"/>
      <c r="H14" s="1060"/>
      <c r="I14" s="1060"/>
    </row>
    <row r="15" spans="1:21" ht="21" customHeight="1">
      <c r="A15" s="1062" t="s">
        <v>538</v>
      </c>
      <c r="B15" s="1062"/>
      <c r="C15" s="1062"/>
      <c r="D15" s="1062"/>
      <c r="E15" s="1062"/>
      <c r="F15" s="1062"/>
      <c r="G15" s="1062"/>
      <c r="H15" s="1062"/>
      <c r="I15" s="1062"/>
    </row>
    <row r="16" spans="1:21" ht="23" customHeight="1">
      <c r="A16" s="1060" t="s">
        <v>531</v>
      </c>
      <c r="B16" s="1060"/>
      <c r="C16" s="1060"/>
      <c r="D16" s="1060"/>
      <c r="E16" s="1060"/>
      <c r="F16" s="1060"/>
      <c r="G16" s="1060"/>
      <c r="H16" s="1060"/>
      <c r="I16" s="1060"/>
    </row>
    <row r="17" spans="1:9" ht="18" customHeight="1">
      <c r="A17" s="1061"/>
      <c r="B17" s="1061"/>
      <c r="C17" s="1061"/>
      <c r="D17" s="1061"/>
      <c r="E17" s="1061"/>
      <c r="F17" s="1061"/>
      <c r="G17" s="1061"/>
      <c r="H17" s="1061"/>
      <c r="I17" s="1061"/>
    </row>
    <row r="18" spans="1:9" ht="21" customHeight="1">
      <c r="A18" s="880"/>
      <c r="B18" s="880"/>
      <c r="C18" s="880"/>
      <c r="D18" s="880"/>
      <c r="E18" s="880"/>
      <c r="F18" s="880"/>
      <c r="G18" s="880"/>
      <c r="H18" s="880"/>
      <c r="I18" s="880"/>
    </row>
    <row r="19" spans="1:9" ht="19" customHeight="1">
      <c r="A19" s="1064"/>
      <c r="B19" s="1064"/>
      <c r="C19" s="1064"/>
      <c r="D19" s="1064"/>
      <c r="E19" s="1064"/>
      <c r="F19" s="1077"/>
      <c r="G19" s="1077"/>
      <c r="H19" s="1077"/>
      <c r="I19" s="1077"/>
    </row>
    <row r="20" spans="1:9" ht="46" customHeight="1">
      <c r="A20" s="1065" t="s">
        <v>86</v>
      </c>
      <c r="B20" s="1065"/>
      <c r="C20" s="1065"/>
      <c r="D20" s="1065"/>
      <c r="E20" s="34"/>
      <c r="F20" s="1078" t="s">
        <v>366</v>
      </c>
      <c r="G20" s="1078"/>
      <c r="H20" s="1078"/>
      <c r="I20" s="1078"/>
    </row>
    <row r="21" spans="1:9" ht="46" customHeight="1">
      <c r="A21" s="1065" t="s">
        <v>84</v>
      </c>
      <c r="B21" s="1065"/>
      <c r="C21" s="1065"/>
      <c r="D21" s="1065"/>
      <c r="E21" s="34"/>
      <c r="F21" s="1058" t="s">
        <v>367</v>
      </c>
      <c r="G21" s="1058"/>
      <c r="H21" s="1058"/>
      <c r="I21" s="1058"/>
    </row>
    <row r="22" spans="1:9" ht="14" customHeight="1">
      <c r="A22" s="1065" t="s">
        <v>360</v>
      </c>
      <c r="B22" s="1065"/>
      <c r="C22" s="1065"/>
      <c r="D22" s="1065"/>
      <c r="E22" s="1066"/>
      <c r="F22" s="1058" t="s">
        <v>454</v>
      </c>
      <c r="G22" s="1058"/>
      <c r="H22" s="1058"/>
      <c r="I22" s="1058"/>
    </row>
    <row r="23" spans="1:9" ht="15" customHeight="1">
      <c r="A23" s="1065"/>
      <c r="B23" s="1065"/>
      <c r="C23" s="1065"/>
      <c r="D23" s="1065"/>
      <c r="E23" s="1066"/>
      <c r="F23" s="1058"/>
      <c r="G23" s="1058"/>
      <c r="H23" s="1058"/>
      <c r="I23" s="1058"/>
    </row>
    <row r="24" spans="1:9" ht="18" customHeight="1">
      <c r="A24" s="1065"/>
      <c r="B24" s="1065"/>
      <c r="C24" s="1065"/>
      <c r="D24" s="1065"/>
      <c r="E24" s="1066"/>
      <c r="F24" s="1058"/>
      <c r="G24" s="1058"/>
      <c r="H24" s="1058"/>
      <c r="I24" s="1058"/>
    </row>
    <row r="25" spans="1:9" ht="15" customHeight="1">
      <c r="A25" s="1067" t="s">
        <v>85</v>
      </c>
      <c r="B25" s="1067"/>
      <c r="C25" s="41"/>
      <c r="D25" s="41"/>
      <c r="E25" s="1066"/>
      <c r="F25" s="1058" t="s">
        <v>455</v>
      </c>
      <c r="G25" s="1058"/>
      <c r="H25" s="1058"/>
      <c r="I25" s="1058"/>
    </row>
    <row r="26" spans="1:9" ht="15" customHeight="1">
      <c r="A26" s="1067"/>
      <c r="B26" s="1067"/>
      <c r="C26" s="41"/>
      <c r="D26" s="41"/>
      <c r="E26" s="1066"/>
      <c r="F26" s="1058"/>
      <c r="G26" s="1058"/>
      <c r="H26" s="1058"/>
      <c r="I26" s="1058"/>
    </row>
    <row r="27" spans="1:9" ht="15" customHeight="1">
      <c r="A27" s="1067"/>
      <c r="B27" s="1067"/>
      <c r="C27" s="41"/>
      <c r="D27" s="41"/>
      <c r="E27" s="1066"/>
      <c r="F27" s="1058" t="s">
        <v>368</v>
      </c>
      <c r="G27" s="1058"/>
      <c r="H27" s="1058"/>
      <c r="I27" s="1058"/>
    </row>
    <row r="28" spans="1:9" ht="12" customHeight="1">
      <c r="A28" s="1067"/>
      <c r="B28" s="1067"/>
      <c r="C28" s="41"/>
      <c r="D28" s="41"/>
      <c r="E28" s="1066"/>
      <c r="F28" s="1058" t="s">
        <v>369</v>
      </c>
      <c r="G28" s="1058"/>
      <c r="H28" s="1058"/>
      <c r="I28" s="1058"/>
    </row>
    <row r="29" spans="1:9" ht="12" customHeight="1">
      <c r="A29" s="1063"/>
      <c r="B29" s="1063"/>
      <c r="C29" s="1063"/>
      <c r="D29" s="1063"/>
      <c r="E29" s="1063"/>
      <c r="F29" s="1058" t="s">
        <v>370</v>
      </c>
      <c r="G29" s="1058"/>
      <c r="H29" s="1058"/>
      <c r="I29" s="1058"/>
    </row>
    <row r="30" spans="1:9" ht="12" customHeight="1">
      <c r="A30" s="1063"/>
      <c r="B30" s="1063"/>
      <c r="C30" s="1063"/>
      <c r="D30" s="1063"/>
      <c r="E30" s="1063"/>
    </row>
    <row r="31" spans="1:9" ht="46" customHeight="1">
      <c r="A31" s="1064"/>
      <c r="B31" s="1064"/>
      <c r="C31" s="1064"/>
      <c r="D31" s="1064"/>
      <c r="E31" s="1064"/>
      <c r="F31" s="1064"/>
      <c r="G31" s="1064"/>
      <c r="H31" s="1064"/>
      <c r="I31" s="1064"/>
    </row>
    <row r="32" spans="1:9" ht="46" customHeight="1">
      <c r="A32" s="1064"/>
      <c r="B32" s="1064"/>
      <c r="C32" s="1064"/>
      <c r="D32" s="1064"/>
      <c r="E32" s="1064"/>
      <c r="F32" s="1064"/>
      <c r="G32" s="1064"/>
      <c r="H32" s="1064"/>
      <c r="I32" s="1064"/>
    </row>
    <row r="33" spans="1:9" ht="46" customHeight="1">
      <c r="A33" s="1063" t="s">
        <v>132</v>
      </c>
      <c r="B33" s="1063"/>
      <c r="C33" s="1063"/>
      <c r="D33" s="1063"/>
      <c r="E33" s="1063"/>
      <c r="F33" s="1063"/>
      <c r="G33" s="1063"/>
      <c r="H33" s="1063"/>
      <c r="I33" s="1063"/>
    </row>
    <row r="34" spans="1:9" ht="85" customHeight="1">
      <c r="A34" s="680"/>
      <c r="B34" s="680"/>
      <c r="C34" s="680"/>
      <c r="D34" s="680"/>
      <c r="E34" s="680"/>
    </row>
    <row r="35" spans="1:9" ht="13" customHeight="1">
      <c r="A35" s="1068"/>
      <c r="B35" s="1068"/>
      <c r="C35" s="1068"/>
      <c r="D35" s="1068"/>
      <c r="E35" s="15"/>
    </row>
    <row r="36" spans="1:9">
      <c r="B36" s="1069"/>
      <c r="C36" s="1069"/>
      <c r="D36" s="1069"/>
      <c r="E36" s="129"/>
    </row>
    <row r="37" spans="1:9">
      <c r="A37" s="37"/>
      <c r="B37" s="14"/>
      <c r="C37" s="14"/>
      <c r="D37" s="14"/>
      <c r="E37" s="14"/>
      <c r="F37" s="679"/>
      <c r="G37" s="679"/>
      <c r="H37" s="679"/>
      <c r="I37" s="679"/>
    </row>
    <row r="38" spans="1:9">
      <c r="A38" s="1068"/>
      <c r="B38" s="1068"/>
      <c r="C38" s="1068"/>
      <c r="D38" s="1068"/>
      <c r="E38" s="15"/>
    </row>
    <row r="39" spans="1:9">
      <c r="A39" s="679"/>
      <c r="B39" s="679"/>
      <c r="C39" s="679"/>
      <c r="D39" s="679"/>
      <c r="E39" s="679"/>
    </row>
    <row r="40" spans="1:9">
      <c r="A40" s="1068"/>
      <c r="B40" s="1068"/>
      <c r="C40" s="1068"/>
      <c r="D40" s="1068"/>
      <c r="E40" s="15"/>
      <c r="H40" s="1068"/>
      <c r="I40" s="1068"/>
    </row>
    <row r="41" spans="1:9">
      <c r="A41" s="1068"/>
      <c r="B41" s="1068"/>
      <c r="C41" s="1068"/>
      <c r="D41" s="1068"/>
      <c r="E41" s="15"/>
      <c r="H41" s="1068"/>
      <c r="I41" s="1068"/>
    </row>
    <row r="42" spans="1:9">
      <c r="A42" s="1068"/>
      <c r="B42" s="1068"/>
      <c r="C42" s="1068"/>
      <c r="D42" s="1068"/>
      <c r="E42" s="15"/>
      <c r="H42" s="1068"/>
      <c r="I42" s="1068"/>
    </row>
    <row r="43" spans="1:9">
      <c r="A43" s="1068"/>
      <c r="B43" s="1068"/>
      <c r="C43" s="1068"/>
      <c r="D43" s="1068"/>
      <c r="E43" s="15"/>
      <c r="H43" s="1068"/>
      <c r="I43" s="1068"/>
    </row>
    <row r="44" spans="1:9">
      <c r="A44" s="1068"/>
      <c r="B44" s="1068"/>
      <c r="C44" s="1068"/>
      <c r="D44" s="1068"/>
      <c r="E44" s="15"/>
      <c r="H44" s="1068"/>
      <c r="I44" s="1068"/>
    </row>
    <row r="45" spans="1:9">
      <c r="A45" s="1068"/>
      <c r="B45" s="1068"/>
      <c r="C45" s="1068"/>
      <c r="D45" s="1068"/>
      <c r="E45" s="15"/>
      <c r="H45" s="1068"/>
      <c r="I45" s="1068"/>
    </row>
    <row r="46" spans="1:9">
      <c r="A46" s="1068"/>
      <c r="B46" s="1068"/>
      <c r="C46" s="1068"/>
      <c r="D46" s="1068"/>
      <c r="E46" s="15"/>
      <c r="H46" s="1068"/>
      <c r="I46" s="1068"/>
    </row>
    <row r="47" spans="1:9">
      <c r="A47" s="1068"/>
      <c r="B47" s="1068"/>
      <c r="C47" s="1068"/>
      <c r="D47" s="1068"/>
      <c r="E47" s="15"/>
      <c r="H47" s="1068"/>
      <c r="I47" s="1068"/>
    </row>
    <row r="48" spans="1:9">
      <c r="A48" s="37"/>
      <c r="B48" s="15"/>
      <c r="C48" s="15"/>
      <c r="D48" s="15"/>
      <c r="E48" s="15"/>
      <c r="H48" s="1068"/>
      <c r="I48" s="1068"/>
    </row>
    <row r="49" spans="1:9" ht="18">
      <c r="A49" s="41"/>
      <c r="B49" s="1069"/>
      <c r="C49" s="1069"/>
      <c r="D49" s="1069"/>
      <c r="E49" s="39"/>
      <c r="H49" s="1068"/>
      <c r="I49" s="1068"/>
    </row>
    <row r="50" spans="1:9">
      <c r="A50" s="37"/>
      <c r="B50" s="14"/>
      <c r="C50" s="14"/>
      <c r="D50" s="14"/>
      <c r="E50" s="14"/>
    </row>
    <row r="51" spans="1:9" ht="16">
      <c r="A51" s="1072"/>
      <c r="B51" s="1072"/>
      <c r="C51" s="1072"/>
      <c r="D51" s="1072"/>
      <c r="E51" s="35"/>
    </row>
    <row r="52" spans="1:9" ht="18">
      <c r="A52" s="1071"/>
      <c r="B52" s="1071"/>
      <c r="C52" s="1071"/>
      <c r="D52" s="1071"/>
      <c r="E52" s="39"/>
    </row>
    <row r="53" spans="1:9">
      <c r="A53" s="37"/>
      <c r="B53" s="14"/>
      <c r="C53" s="14"/>
      <c r="D53" s="14"/>
      <c r="E53" s="14"/>
    </row>
    <row r="54" spans="1:9">
      <c r="A54" s="37"/>
      <c r="B54" s="14"/>
      <c r="C54" s="14"/>
      <c r="D54" s="14"/>
      <c r="E54" s="14"/>
    </row>
    <row r="55" spans="1:9">
      <c r="A55" s="37"/>
      <c r="B55" s="14"/>
      <c r="C55" s="14"/>
      <c r="D55" s="14"/>
      <c r="E55" s="14"/>
    </row>
    <row r="56" spans="1:9">
      <c r="A56" s="37"/>
      <c r="B56" s="14"/>
      <c r="C56" s="14"/>
      <c r="D56" s="14"/>
      <c r="E56" s="14"/>
    </row>
    <row r="57" spans="1:9">
      <c r="A57" s="37"/>
      <c r="B57" s="14"/>
      <c r="C57" s="14"/>
      <c r="D57" s="14"/>
      <c r="E57" s="14"/>
    </row>
    <row r="59" spans="1:9">
      <c r="I59" s="40"/>
    </row>
    <row r="60" spans="1:9">
      <c r="I60" s="38"/>
    </row>
    <row r="62" spans="1:9">
      <c r="I62" s="32"/>
    </row>
    <row r="63" spans="1:9">
      <c r="I63" s="1070"/>
    </row>
    <row r="64" spans="1:9">
      <c r="I64" s="1070"/>
    </row>
    <row r="65" spans="9:9">
      <c r="I65" s="1070"/>
    </row>
  </sheetData>
  <sheetProtection sheet="1" objects="1" scenarios="1"/>
  <mergeCells count="61">
    <mergeCell ref="M3:U3"/>
    <mergeCell ref="A1:I1"/>
    <mergeCell ref="A4:I4"/>
    <mergeCell ref="A3:I3"/>
    <mergeCell ref="A35:D35"/>
    <mergeCell ref="A8:I8"/>
    <mergeCell ref="F19:I19"/>
    <mergeCell ref="F20:I20"/>
    <mergeCell ref="A6:I6"/>
    <mergeCell ref="A5:I5"/>
    <mergeCell ref="A2:I2"/>
    <mergeCell ref="A20:D20"/>
    <mergeCell ref="A21:D21"/>
    <mergeCell ref="A19:E19"/>
    <mergeCell ref="A33:I33"/>
    <mergeCell ref="A31:I31"/>
    <mergeCell ref="I63:I65"/>
    <mergeCell ref="A52:D52"/>
    <mergeCell ref="A38:D38"/>
    <mergeCell ref="A40:D40"/>
    <mergeCell ref="A41:D41"/>
    <mergeCell ref="A42:D42"/>
    <mergeCell ref="A43:D43"/>
    <mergeCell ref="A44:D44"/>
    <mergeCell ref="A45:D45"/>
    <mergeCell ref="A46:D46"/>
    <mergeCell ref="A47:D47"/>
    <mergeCell ref="A51:D51"/>
    <mergeCell ref="H42:I42"/>
    <mergeCell ref="H43:I43"/>
    <mergeCell ref="H49:I49"/>
    <mergeCell ref="B49:D49"/>
    <mergeCell ref="H47:I47"/>
    <mergeCell ref="H48:I48"/>
    <mergeCell ref="B36:D36"/>
    <mergeCell ref="H40:I40"/>
    <mergeCell ref="H41:I41"/>
    <mergeCell ref="H44:I44"/>
    <mergeCell ref="H45:I45"/>
    <mergeCell ref="H46:I46"/>
    <mergeCell ref="A29:E30"/>
    <mergeCell ref="A32:I32"/>
    <mergeCell ref="A22:D24"/>
    <mergeCell ref="E22:E24"/>
    <mergeCell ref="A25:B28"/>
    <mergeCell ref="E25:E28"/>
    <mergeCell ref="F28:I28"/>
    <mergeCell ref="F27:I27"/>
    <mergeCell ref="F22:I24"/>
    <mergeCell ref="F25:I26"/>
    <mergeCell ref="F29:I29"/>
    <mergeCell ref="A7:I7"/>
    <mergeCell ref="A10:I10"/>
    <mergeCell ref="F21:I21"/>
    <mergeCell ref="A9:I9"/>
    <mergeCell ref="A12:I12"/>
    <mergeCell ref="A17:I17"/>
    <mergeCell ref="A16:I16"/>
    <mergeCell ref="A13:I13"/>
    <mergeCell ref="A14:I14"/>
    <mergeCell ref="A15:I15"/>
  </mergeCells>
  <phoneticPr fontId="6" type="noConversion"/>
  <hyperlinks>
    <hyperlink ref="A15" r:id="rId1" xr:uid="{AB25B38E-764F-1740-A652-E828BCE641C3}"/>
  </hyperlinks>
  <pageMargins left="0.25590551181102361" right="0.25590551181102361" top="0.36000000000000004" bottom="0.16" header="0.30000000000000004" footer="0.30000000000000004"/>
  <pageSetup paperSize="9" scale="96"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153"/>
  <sheetViews>
    <sheetView view="pageBreakPreview" zoomScaleNormal="125" zoomScaleSheetLayoutView="100" zoomScalePageLayoutView="125" workbookViewId="0">
      <selection activeCell="N32" sqref="N32"/>
    </sheetView>
  </sheetViews>
  <sheetFormatPr baseColWidth="10" defaultColWidth="8.83203125" defaultRowHeight="13"/>
  <cols>
    <col min="1" max="7" width="12.6640625" style="229" customWidth="1"/>
    <col min="8" max="8" width="14" style="229" customWidth="1"/>
    <col min="9" max="10" width="12.6640625" style="229" customWidth="1"/>
    <col min="11" max="11" width="8.83203125" style="229"/>
    <col min="12" max="12" width="11.33203125" style="229" bestFit="1" customWidth="1"/>
    <col min="13" max="16384" width="8.83203125" style="229"/>
  </cols>
  <sheetData>
    <row r="1" spans="1:14" ht="20">
      <c r="A1" s="1250" t="s">
        <v>19</v>
      </c>
      <c r="B1" s="1251"/>
      <c r="C1" s="1251"/>
      <c r="D1" s="1251"/>
      <c r="E1" s="1251"/>
      <c r="F1" s="1251"/>
      <c r="G1" s="1251"/>
      <c r="H1" s="1251"/>
      <c r="I1" s="1252"/>
    </row>
    <row r="2" spans="1:14" ht="39" customHeight="1">
      <c r="A2" s="1778" t="s">
        <v>196</v>
      </c>
      <c r="B2" s="1779"/>
      <c r="C2" s="1779"/>
      <c r="D2" s="1779"/>
      <c r="E2" s="1779"/>
      <c r="F2" s="1779"/>
      <c r="G2" s="1779"/>
      <c r="H2" s="1779"/>
      <c r="I2" s="1780"/>
    </row>
    <row r="3" spans="1:14" ht="20">
      <c r="A3" s="1263" t="str">
        <f>'Forside 1'!A6:I6</f>
        <v>Gældende fra 1. april 2019</v>
      </c>
      <c r="B3" s="1264"/>
      <c r="C3" s="1264"/>
      <c r="D3" s="1264"/>
      <c r="E3" s="1264"/>
      <c r="F3" s="1264"/>
      <c r="G3" s="1264"/>
      <c r="H3" s="1264"/>
      <c r="I3" s="1265"/>
    </row>
    <row r="4" spans="1:14" s="332" customFormat="1" ht="34" customHeight="1" thickBot="1">
      <c r="A4" s="1841" t="s">
        <v>361</v>
      </c>
      <c r="B4" s="1842"/>
      <c r="C4" s="1842"/>
      <c r="D4" s="1842"/>
      <c r="E4" s="1842"/>
      <c r="F4" s="1842"/>
      <c r="G4" s="1842"/>
      <c r="H4" s="1842"/>
      <c r="I4" s="1843"/>
    </row>
    <row r="5" spans="1:14" ht="14">
      <c r="A5" s="249"/>
      <c r="B5" s="249"/>
      <c r="C5" s="249"/>
      <c r="D5" s="249"/>
      <c r="E5" s="249"/>
      <c r="F5" s="249"/>
      <c r="G5" s="249"/>
      <c r="H5" s="249"/>
      <c r="I5" s="249"/>
      <c r="J5" s="249"/>
    </row>
    <row r="6" spans="1:14" ht="15" thickBot="1">
      <c r="A6" s="249"/>
      <c r="B6" s="249"/>
      <c r="C6" s="249"/>
      <c r="D6" s="249"/>
      <c r="E6" s="249"/>
      <c r="F6" s="249"/>
      <c r="G6" s="249"/>
      <c r="H6" s="249"/>
      <c r="I6" s="249"/>
      <c r="J6" s="249"/>
    </row>
    <row r="7" spans="1:14" s="259" customFormat="1" ht="19" thickBot="1">
      <c r="A7" s="1781" t="s">
        <v>324</v>
      </c>
      <c r="B7" s="1782"/>
      <c r="C7" s="1782"/>
      <c r="D7" s="1782"/>
      <c r="E7" s="1782"/>
      <c r="F7" s="1783"/>
      <c r="G7" s="1781" t="s">
        <v>174</v>
      </c>
      <c r="H7" s="1782"/>
      <c r="I7" s="1783"/>
      <c r="J7" s="817"/>
    </row>
    <row r="8" spans="1:14" s="259" customFormat="1" ht="15">
      <c r="A8" s="574" t="s">
        <v>57</v>
      </c>
      <c r="B8" s="575" t="s">
        <v>76</v>
      </c>
      <c r="C8" s="575" t="s">
        <v>77</v>
      </c>
      <c r="D8" s="575" t="s">
        <v>78</v>
      </c>
      <c r="E8" s="575" t="s">
        <v>79</v>
      </c>
      <c r="F8" s="575" t="s">
        <v>80</v>
      </c>
      <c r="G8" s="1835" t="s">
        <v>464</v>
      </c>
      <c r="H8" s="1836"/>
      <c r="I8" s="818">
        <v>0.14000000000000001</v>
      </c>
    </row>
    <row r="9" spans="1:14" s="259" customFormat="1" ht="14" customHeight="1">
      <c r="A9" s="298" t="s">
        <v>239</v>
      </c>
      <c r="B9" s="522">
        <f>'Statens skalatrin'!D46+('3f (DFF, DPS, DSSV)'!F24/12)</f>
        <v>20755.100902249997</v>
      </c>
      <c r="C9" s="522">
        <f>'Statens skalatrin'!F46+('3f (DFF, DPS, DSSV)'!F24/12)</f>
        <v>21183.600902249997</v>
      </c>
      <c r="D9" s="522">
        <f>'Statens skalatrin'!H46+('3f (DFF, DPS, DSSV)'!F24/12)</f>
        <v>21480.26090225</v>
      </c>
      <c r="E9" s="522">
        <f>'Statens skalatrin'!J46+('3f (DFF, DPS, DSSV)'!F24/12)</f>
        <v>21908.680902249998</v>
      </c>
      <c r="F9" s="522">
        <f>'Statens skalatrin'!L46+('3f (DFF, DPS, DSSV)'!F24/12)</f>
        <v>22205.350902249997</v>
      </c>
      <c r="G9" s="1837">
        <f>'Statens skalatrin'!O46</f>
        <v>19239.919999999998</v>
      </c>
      <c r="H9" s="1838"/>
      <c r="I9" s="374">
        <f>G9*$I$8</f>
        <v>2693.5888</v>
      </c>
      <c r="J9" s="262"/>
      <c r="K9" s="258"/>
    </row>
    <row r="10" spans="1:14" s="259" customFormat="1" ht="15" customHeight="1">
      <c r="A10" s="298">
        <v>17</v>
      </c>
      <c r="B10" s="522">
        <f>'Statens skalatrin'!D55</f>
        <v>21608.25</v>
      </c>
      <c r="C10" s="522">
        <f>'Statens skalatrin'!F55</f>
        <v>22070.17</v>
      </c>
      <c r="D10" s="522">
        <f>'Statens skalatrin'!H55</f>
        <v>22389.919999999998</v>
      </c>
      <c r="E10" s="522">
        <f>'Statens skalatrin'!J55</f>
        <v>22851.75</v>
      </c>
      <c r="F10" s="522">
        <f>'Statens skalatrin'!L55</f>
        <v>23171.33</v>
      </c>
      <c r="G10" s="1837">
        <f>'Statens skalatrin'!O55</f>
        <v>20294.53</v>
      </c>
      <c r="H10" s="1838"/>
      <c r="I10" s="374">
        <f>G10*$I$8</f>
        <v>2841.2342000000003</v>
      </c>
      <c r="J10" s="262"/>
      <c r="K10" s="258"/>
    </row>
    <row r="11" spans="1:14" s="259" customFormat="1" ht="15" customHeight="1" thickBot="1">
      <c r="A11" s="299" t="s">
        <v>175</v>
      </c>
      <c r="B11" s="523" t="e">
        <f>'Statens skalatrin'!D64+('3f (DFF, DPS, DSSV)'!#REF!/12)</f>
        <v>#REF!</v>
      </c>
      <c r="C11" s="523" t="e">
        <f>'Statens skalatrin'!F64+('3f (DFF, DPS, DSSV)'!#REF!/12)</f>
        <v>#REF!</v>
      </c>
      <c r="D11" s="523" t="e">
        <f>'Statens skalatrin'!H64+('3f (DFF, DPS, DSSV)'!#REF!/12)</f>
        <v>#REF!</v>
      </c>
      <c r="E11" s="523" t="e">
        <f>'Statens skalatrin'!J64+('3f (DFF, DPS, DSSV)'!#REF!/12)</f>
        <v>#REF!</v>
      </c>
      <c r="F11" s="523" t="e">
        <f>'Statens skalatrin'!L64+('3f (DFF, DPS, DSSV)'!#REF!/12)</f>
        <v>#REF!</v>
      </c>
      <c r="G11" s="1839">
        <f>'Statens skalatrin'!O64</f>
        <v>21438.71</v>
      </c>
      <c r="H11" s="1840"/>
      <c r="I11" s="375">
        <f>G11*$I$8</f>
        <v>3001.4194000000002</v>
      </c>
      <c r="J11" s="262"/>
      <c r="K11" s="258"/>
      <c r="N11" s="261"/>
    </row>
    <row r="12" spans="1:14" s="259" customFormat="1" ht="14">
      <c r="B12" s="260"/>
      <c r="C12" s="260"/>
      <c r="D12" s="260"/>
      <c r="E12" s="260"/>
      <c r="F12" s="260"/>
    </row>
    <row r="13" spans="1:14" s="259" customFormat="1" ht="15" thickBot="1">
      <c r="B13" s="260"/>
      <c r="C13" s="260"/>
      <c r="D13" s="260"/>
      <c r="E13" s="260"/>
      <c r="F13" s="260"/>
    </row>
    <row r="14" spans="1:14" s="259" customFormat="1" ht="19" thickBot="1">
      <c r="A14" s="1781" t="s">
        <v>325</v>
      </c>
      <c r="B14" s="1782"/>
      <c r="C14" s="1782"/>
      <c r="D14" s="1782"/>
      <c r="E14" s="1782"/>
      <c r="F14" s="1783"/>
    </row>
    <row r="15" spans="1:14" s="259" customFormat="1" ht="15" customHeight="1" thickBot="1">
      <c r="A15" s="1856" t="s">
        <v>177</v>
      </c>
      <c r="B15" s="1857"/>
      <c r="C15" s="1857"/>
      <c r="D15" s="1857"/>
      <c r="E15" s="1857"/>
      <c r="F15" s="1858"/>
    </row>
    <row r="16" spans="1:14" s="259" customFormat="1" ht="16" customHeight="1">
      <c r="A16" s="475" t="s">
        <v>57</v>
      </c>
      <c r="B16" s="476" t="s">
        <v>76</v>
      </c>
      <c r="C16" s="475" t="s">
        <v>77</v>
      </c>
      <c r="D16" s="476" t="s">
        <v>78</v>
      </c>
      <c r="E16" s="475" t="s">
        <v>79</v>
      </c>
      <c r="F16" s="477" t="s">
        <v>80</v>
      </c>
    </row>
    <row r="17" spans="1:12" s="259" customFormat="1" ht="16" customHeight="1" thickBot="1">
      <c r="A17" s="272" t="s">
        <v>239</v>
      </c>
      <c r="B17" s="524">
        <f>B9*12/1924</f>
        <v>129.44969377702702</v>
      </c>
      <c r="C17" s="525">
        <f>C9*12/1924</f>
        <v>132.12225094958418</v>
      </c>
      <c r="D17" s="524">
        <f>D9*12/1924</f>
        <v>133.97252121985449</v>
      </c>
      <c r="E17" s="525">
        <f>(E9*12)/1924</f>
        <v>136.64457943191269</v>
      </c>
      <c r="F17" s="526">
        <f>(F9*12)/1924</f>
        <v>138.49491207224531</v>
      </c>
      <c r="H17" s="258"/>
      <c r="I17" s="258"/>
      <c r="J17" s="258"/>
      <c r="K17" s="258"/>
      <c r="L17" s="258"/>
    </row>
    <row r="18" spans="1:12" s="259" customFormat="1" ht="16" customHeight="1">
      <c r="A18" s="268"/>
      <c r="B18" s="267"/>
      <c r="C18" s="267"/>
      <c r="D18" s="267"/>
      <c r="E18" s="267"/>
      <c r="F18" s="267"/>
      <c r="H18" s="258"/>
      <c r="I18" s="258"/>
      <c r="J18" s="258"/>
      <c r="K18" s="258"/>
      <c r="L18" s="258"/>
    </row>
    <row r="19" spans="1:12" s="376" customFormat="1" ht="15" thickBot="1">
      <c r="A19" s="268"/>
      <c r="B19" s="267"/>
      <c r="C19" s="267"/>
      <c r="D19" s="267"/>
      <c r="E19" s="267"/>
      <c r="F19" s="267"/>
    </row>
    <row r="20" spans="1:12" ht="20" customHeight="1">
      <c r="A20" s="1159" t="s">
        <v>178</v>
      </c>
      <c r="B20" s="1160"/>
      <c r="C20" s="1160"/>
      <c r="D20" s="1160"/>
      <c r="E20" s="1160"/>
      <c r="F20" s="1160"/>
      <c r="G20" s="1160"/>
      <c r="H20" s="1160"/>
      <c r="I20" s="1161"/>
      <c r="J20" s="249"/>
    </row>
    <row r="21" spans="1:12" ht="20" customHeight="1" thickBot="1">
      <c r="A21" s="1247" t="s">
        <v>334</v>
      </c>
      <c r="B21" s="1248"/>
      <c r="C21" s="1248"/>
      <c r="D21" s="1248"/>
      <c r="E21" s="1248"/>
      <c r="F21" s="1248"/>
      <c r="G21" s="1248"/>
      <c r="H21" s="1248"/>
      <c r="I21" s="1249"/>
      <c r="J21" s="249"/>
    </row>
    <row r="22" spans="1:12" s="259" customFormat="1" ht="30" customHeight="1" thickBot="1">
      <c r="A22" s="1763"/>
      <c r="B22" s="1764"/>
      <c r="C22" s="1764"/>
      <c r="D22" s="1764"/>
      <c r="E22" s="1764"/>
      <c r="F22" s="1764"/>
      <c r="G22" s="1764"/>
      <c r="H22" s="689" t="s">
        <v>373</v>
      </c>
      <c r="I22" s="684" t="s">
        <v>374</v>
      </c>
    </row>
    <row r="23" spans="1:12" s="259" customFormat="1" ht="15" thickBot="1">
      <c r="A23" s="1825"/>
      <c r="B23" s="1826"/>
      <c r="C23" s="1826"/>
      <c r="D23" s="1826"/>
      <c r="E23" s="1826"/>
      <c r="F23" s="1826"/>
      <c r="G23" s="1827"/>
      <c r="H23" s="613">
        <v>40999</v>
      </c>
      <c r="I23" s="691" t="str">
        <f>'Løntabel gældende fra'!D1</f>
        <v>01/04/2019</v>
      </c>
    </row>
    <row r="24" spans="1:12" s="259" customFormat="1" ht="17" customHeight="1">
      <c r="A24" s="1854" t="s">
        <v>179</v>
      </c>
      <c r="B24" s="1855"/>
      <c r="C24" s="1855"/>
      <c r="D24" s="1855"/>
      <c r="E24" s="1855"/>
      <c r="F24" s="576"/>
      <c r="G24" s="577" t="s">
        <v>171</v>
      </c>
      <c r="H24" s="175">
        <v>22.32</v>
      </c>
      <c r="I24" s="581">
        <f>H24+(H24*'Løntabel gældende fra'!$D$7%)</f>
        <v>24.215213519999999</v>
      </c>
    </row>
    <row r="25" spans="1:12" s="259" customFormat="1" ht="17" customHeight="1">
      <c r="A25" s="1776" t="s">
        <v>180</v>
      </c>
      <c r="B25" s="1777"/>
      <c r="C25" s="1777"/>
      <c r="D25" s="1777"/>
      <c r="E25" s="1777"/>
      <c r="F25" s="582"/>
      <c r="G25" s="257" t="s">
        <v>171</v>
      </c>
      <c r="H25" s="197">
        <v>39.92</v>
      </c>
      <c r="I25" s="581">
        <f>H25+(H25*'Løntabel gældende fra'!$D$7%)</f>
        <v>43.309647120000001</v>
      </c>
    </row>
    <row r="26" spans="1:12" s="259" customFormat="1" ht="17" customHeight="1">
      <c r="A26" s="1768" t="s">
        <v>181</v>
      </c>
      <c r="B26" s="1769"/>
      <c r="C26" s="1769"/>
      <c r="D26" s="1769"/>
      <c r="E26" s="1769"/>
      <c r="F26" s="1769"/>
      <c r="G26" s="257" t="s">
        <v>171</v>
      </c>
      <c r="H26" s="197">
        <v>39.92</v>
      </c>
      <c r="I26" s="581">
        <f>H26+(H26*'Løntabel gældende fra'!$D$7%)</f>
        <v>43.309647120000001</v>
      </c>
    </row>
    <row r="27" spans="1:12" s="259" customFormat="1" ht="17" customHeight="1" thickBot="1">
      <c r="A27" s="288" t="s">
        <v>170</v>
      </c>
      <c r="B27" s="287"/>
      <c r="C27" s="287"/>
      <c r="D27" s="287"/>
      <c r="E27" s="271"/>
      <c r="F27" s="271"/>
      <c r="G27" s="282" t="s">
        <v>171</v>
      </c>
      <c r="H27" s="176">
        <v>39.92</v>
      </c>
      <c r="I27" s="583">
        <f>H27+(H27*'Løntabel gældende fra'!$D$7%)</f>
        <v>43.309647120000001</v>
      </c>
    </row>
    <row r="28" spans="1:12" s="259" customFormat="1" ht="14">
      <c r="A28" s="249"/>
      <c r="B28" s="249"/>
      <c r="C28" s="249"/>
      <c r="D28" s="249"/>
      <c r="E28" s="249"/>
      <c r="F28" s="250"/>
      <c r="G28" s="249"/>
      <c r="H28" s="250"/>
      <c r="I28" s="249"/>
    </row>
    <row r="29" spans="1:12" s="259" customFormat="1" ht="15" thickBot="1">
      <c r="A29" s="249"/>
      <c r="B29" s="249"/>
      <c r="C29" s="249"/>
      <c r="D29" s="249"/>
      <c r="E29" s="249"/>
      <c r="F29" s="250"/>
      <c r="G29" s="249"/>
      <c r="H29" s="250"/>
      <c r="I29" s="249"/>
    </row>
    <row r="30" spans="1:12" s="259" customFormat="1" ht="18">
      <c r="A30" s="1159" t="s">
        <v>182</v>
      </c>
      <c r="B30" s="1160"/>
      <c r="C30" s="1160"/>
      <c r="D30" s="1160"/>
      <c r="E30" s="1160"/>
      <c r="F30" s="1160"/>
      <c r="G30" s="1160"/>
      <c r="H30" s="1160"/>
      <c r="I30" s="1161"/>
    </row>
    <row r="31" spans="1:12" s="259" customFormat="1" ht="17" thickBot="1">
      <c r="A31" s="1247" t="s">
        <v>330</v>
      </c>
      <c r="B31" s="1248"/>
      <c r="C31" s="1248"/>
      <c r="D31" s="1248"/>
      <c r="E31" s="1248"/>
      <c r="F31" s="1248"/>
      <c r="G31" s="1248"/>
      <c r="H31" s="1248"/>
      <c r="I31" s="1249"/>
    </row>
    <row r="32" spans="1:12" s="259" customFormat="1" ht="31" thickBot="1">
      <c r="A32" s="1825"/>
      <c r="B32" s="1826"/>
      <c r="C32" s="1826"/>
      <c r="D32" s="1826"/>
      <c r="E32" s="1826"/>
      <c r="F32" s="1826"/>
      <c r="G32" s="1827"/>
      <c r="H32" s="689" t="s">
        <v>373</v>
      </c>
      <c r="I32" s="684" t="s">
        <v>374</v>
      </c>
    </row>
    <row r="33" spans="1:9" s="259" customFormat="1" ht="15" thickBot="1">
      <c r="A33" s="1851"/>
      <c r="B33" s="1852"/>
      <c r="C33" s="1852"/>
      <c r="D33" s="1852"/>
      <c r="E33" s="1852"/>
      <c r="F33" s="1852"/>
      <c r="G33" s="1853"/>
      <c r="H33" s="613">
        <v>40999</v>
      </c>
      <c r="I33" s="691" t="str">
        <f>'Løntabel gældende fra'!D1</f>
        <v>01/04/2019</v>
      </c>
    </row>
    <row r="34" spans="1:9" s="259" customFormat="1" ht="16" thickBot="1">
      <c r="A34" s="1209" t="s">
        <v>316</v>
      </c>
      <c r="B34" s="1210"/>
      <c r="C34" s="1210"/>
      <c r="D34" s="1210"/>
      <c r="E34" s="1210"/>
      <c r="F34" s="624"/>
      <c r="G34" s="625" t="s">
        <v>171</v>
      </c>
      <c r="H34" s="177">
        <v>6.88</v>
      </c>
      <c r="I34" s="568">
        <f>H34+(H34*'Løntabel gældende fra'!D7%)</f>
        <v>7.4641876800000002</v>
      </c>
    </row>
    <row r="35" spans="1:9" s="259" customFormat="1" ht="14">
      <c r="A35" s="249"/>
      <c r="B35" s="249"/>
      <c r="C35" s="249"/>
      <c r="D35" s="249"/>
      <c r="E35" s="249"/>
      <c r="F35" s="250"/>
      <c r="G35" s="249"/>
      <c r="H35" s="250"/>
      <c r="I35" s="249"/>
    </row>
    <row r="36" spans="1:9" s="259" customFormat="1" ht="15" thickBot="1">
      <c r="A36" s="249"/>
      <c r="B36" s="249"/>
      <c r="C36" s="249"/>
      <c r="D36" s="249"/>
      <c r="E36" s="249"/>
      <c r="F36" s="250"/>
      <c r="G36" s="249"/>
      <c r="H36" s="250"/>
      <c r="I36" s="249"/>
    </row>
    <row r="37" spans="1:9" s="259" customFormat="1" ht="18">
      <c r="A37" s="1159" t="s">
        <v>355</v>
      </c>
      <c r="B37" s="1160"/>
      <c r="C37" s="1160"/>
      <c r="D37" s="1160"/>
      <c r="E37" s="1160"/>
      <c r="F37" s="1160"/>
      <c r="G37" s="1160"/>
      <c r="H37" s="1160"/>
      <c r="I37" s="1161"/>
    </row>
    <row r="38" spans="1:9" s="259" customFormat="1" ht="17" thickBot="1">
      <c r="A38" s="1844" t="s">
        <v>334</v>
      </c>
      <c r="B38" s="1845"/>
      <c r="C38" s="1845"/>
      <c r="D38" s="1845"/>
      <c r="E38" s="1845"/>
      <c r="F38" s="1845"/>
      <c r="G38" s="1845"/>
      <c r="H38" s="1845"/>
      <c r="I38" s="1846"/>
    </row>
    <row r="39" spans="1:9" s="259" customFormat="1" ht="33" customHeight="1">
      <c r="A39" s="1829"/>
      <c r="B39" s="1830"/>
      <c r="C39" s="1830"/>
      <c r="D39" s="1830"/>
      <c r="E39" s="1830"/>
      <c r="F39" s="1830"/>
      <c r="G39" s="1831"/>
      <c r="H39" s="687" t="s">
        <v>133</v>
      </c>
      <c r="I39" s="683" t="s">
        <v>372</v>
      </c>
    </row>
    <row r="40" spans="1:9" s="259" customFormat="1" ht="15" thickBot="1">
      <c r="A40" s="1848"/>
      <c r="B40" s="1849"/>
      <c r="C40" s="1849"/>
      <c r="D40" s="1849"/>
      <c r="E40" s="1849"/>
      <c r="F40" s="1849"/>
      <c r="G40" s="1850"/>
      <c r="H40" s="613">
        <v>40999</v>
      </c>
      <c r="I40" s="691" t="str">
        <f>'Løntabel gældende fra'!D1</f>
        <v>01/04/2019</v>
      </c>
    </row>
    <row r="41" spans="1:9" s="259" customFormat="1" ht="15" thickBot="1">
      <c r="A41" s="1209" t="s">
        <v>317</v>
      </c>
      <c r="B41" s="1210"/>
      <c r="C41" s="1210"/>
      <c r="D41" s="1210"/>
      <c r="E41" s="1210"/>
      <c r="F41" s="624"/>
      <c r="G41" s="625"/>
      <c r="H41" s="177">
        <v>655</v>
      </c>
      <c r="I41" s="568">
        <f>H41+(H41*'Løntabel gældende fra'!D7%)</f>
        <v>710.61670500000002</v>
      </c>
    </row>
    <row r="42" spans="1:9" s="259" customFormat="1" ht="14">
      <c r="A42" s="249"/>
      <c r="B42" s="249"/>
      <c r="C42" s="249"/>
      <c r="D42" s="249"/>
      <c r="E42" s="249"/>
      <c r="F42" s="250"/>
      <c r="G42" s="249"/>
      <c r="H42" s="250"/>
      <c r="I42" s="249"/>
    </row>
    <row r="43" spans="1:9" s="259" customFormat="1" ht="15" thickBot="1">
      <c r="A43" s="249"/>
      <c r="B43" s="249"/>
      <c r="C43" s="249"/>
      <c r="D43" s="249"/>
      <c r="E43" s="249"/>
      <c r="F43" s="250"/>
      <c r="G43" s="249"/>
      <c r="H43" s="250"/>
      <c r="I43" s="249"/>
    </row>
    <row r="44" spans="1:9" s="259" customFormat="1" ht="18">
      <c r="A44" s="1159" t="s">
        <v>354</v>
      </c>
      <c r="B44" s="1160"/>
      <c r="C44" s="1160"/>
      <c r="D44" s="1160"/>
      <c r="E44" s="1160"/>
      <c r="F44" s="1160"/>
      <c r="G44" s="1160"/>
      <c r="H44" s="1160"/>
      <c r="I44" s="1161"/>
    </row>
    <row r="45" spans="1:9" s="259" customFormat="1" ht="17" thickBot="1">
      <c r="A45" s="1844" t="s">
        <v>330</v>
      </c>
      <c r="B45" s="1845"/>
      <c r="C45" s="1845"/>
      <c r="D45" s="1845"/>
      <c r="E45" s="1845"/>
      <c r="F45" s="1845"/>
      <c r="G45" s="1845"/>
      <c r="H45" s="1845"/>
      <c r="I45" s="1846"/>
    </row>
    <row r="46" spans="1:9" s="259" customFormat="1" ht="30">
      <c r="A46" s="1206"/>
      <c r="B46" s="1207"/>
      <c r="C46" s="1207"/>
      <c r="D46" s="1207"/>
      <c r="E46" s="1207"/>
      <c r="F46" s="1207"/>
      <c r="G46" s="1208"/>
      <c r="H46" s="687" t="s">
        <v>133</v>
      </c>
      <c r="I46" s="683" t="s">
        <v>372</v>
      </c>
    </row>
    <row r="47" spans="1:9" s="259" customFormat="1" ht="15" thickBot="1">
      <c r="A47" s="1209"/>
      <c r="B47" s="1210"/>
      <c r="C47" s="1210"/>
      <c r="D47" s="1210"/>
      <c r="E47" s="1210"/>
      <c r="F47" s="1210"/>
      <c r="G47" s="1211"/>
      <c r="H47" s="613">
        <v>40999</v>
      </c>
      <c r="I47" s="691" t="str">
        <f>'Løntabel gældende fra'!D1</f>
        <v>01/04/2019</v>
      </c>
    </row>
    <row r="48" spans="1:9" s="259" customFormat="1" ht="15" thickBot="1">
      <c r="A48" s="1209" t="s">
        <v>190</v>
      </c>
      <c r="B48" s="1210"/>
      <c r="C48" s="1210"/>
      <c r="D48" s="1210"/>
      <c r="E48" s="1210"/>
      <c r="F48" s="624"/>
      <c r="G48" s="625"/>
      <c r="H48" s="177">
        <v>10500</v>
      </c>
      <c r="I48" s="568">
        <f>H48+(H48*'Løntabel gældende fra'!D7%)</f>
        <v>11391.565500000001</v>
      </c>
    </row>
    <row r="49" spans="1:10" s="259" customFormat="1" ht="14"/>
    <row r="50" spans="1:10" s="259" customFormat="1" ht="15" thickBot="1"/>
    <row r="51" spans="1:10" s="259" customFormat="1" ht="18">
      <c r="A51" s="1159" t="s">
        <v>353</v>
      </c>
      <c r="B51" s="1160"/>
      <c r="C51" s="1160"/>
      <c r="D51" s="1160"/>
      <c r="E51" s="1160"/>
      <c r="F51" s="1160"/>
      <c r="G51" s="1160"/>
      <c r="H51" s="1160"/>
      <c r="I51" s="1161"/>
    </row>
    <row r="52" spans="1:10" s="259" customFormat="1" ht="17" thickBot="1">
      <c r="A52" s="1247" t="s">
        <v>330</v>
      </c>
      <c r="B52" s="1248"/>
      <c r="C52" s="1248"/>
      <c r="D52" s="1248"/>
      <c r="E52" s="1248"/>
      <c r="F52" s="1248"/>
      <c r="G52" s="1248"/>
      <c r="H52" s="1248"/>
      <c r="I52" s="1249"/>
    </row>
    <row r="53" spans="1:10" s="259" customFormat="1" ht="14">
      <c r="A53" s="1805" t="s">
        <v>438</v>
      </c>
      <c r="B53" s="1806"/>
      <c r="C53" s="1806"/>
      <c r="D53" s="1806"/>
      <c r="E53" s="1806"/>
      <c r="F53" s="1806"/>
      <c r="G53" s="1828"/>
      <c r="H53" s="619" t="s">
        <v>99</v>
      </c>
      <c r="I53" s="621" t="s">
        <v>104</v>
      </c>
    </row>
    <row r="54" spans="1:10" s="259" customFormat="1" ht="15" thickBot="1">
      <c r="A54" s="1758"/>
      <c r="B54" s="1759"/>
      <c r="C54" s="1759"/>
      <c r="D54" s="1759"/>
      <c r="E54" s="1759"/>
      <c r="F54" s="1759"/>
      <c r="G54" s="1760"/>
      <c r="H54" s="622">
        <v>40999</v>
      </c>
      <c r="I54" s="691" t="str">
        <f>'Løntabel gældende fra'!D1</f>
        <v>01/04/2019</v>
      </c>
    </row>
    <row r="55" spans="1:10" s="259" customFormat="1" ht="15" thickBot="1">
      <c r="A55" s="1761" t="s">
        <v>323</v>
      </c>
      <c r="B55" s="1762"/>
      <c r="C55" s="1762"/>
      <c r="D55" s="1762"/>
      <c r="E55" s="1762"/>
      <c r="F55" s="255"/>
      <c r="G55" s="266"/>
      <c r="H55" s="325">
        <v>0</v>
      </c>
      <c r="I55" s="318">
        <v>0</v>
      </c>
    </row>
    <row r="56" spans="1:10" s="259" customFormat="1" ht="14"/>
    <row r="57" spans="1:10" s="259" customFormat="1" ht="14">
      <c r="A57" s="1847"/>
      <c r="B57" s="1847"/>
      <c r="C57" s="1847"/>
      <c r="D57" s="1847"/>
      <c r="E57" s="1847"/>
      <c r="F57" s="1847"/>
      <c r="G57" s="1847"/>
      <c r="H57" s="1847"/>
      <c r="I57" s="1847"/>
      <c r="J57" s="1847"/>
    </row>
    <row r="58" spans="1:10" s="259" customFormat="1" ht="14">
      <c r="A58" s="569"/>
    </row>
    <row r="59" spans="1:10" s="259" customFormat="1" ht="14"/>
    <row r="60" spans="1:10" s="259" customFormat="1" ht="14"/>
    <row r="61" spans="1:10" s="259" customFormat="1" ht="14"/>
    <row r="62" spans="1:10" s="259" customFormat="1" ht="14"/>
    <row r="72" s="259" customFormat="1" ht="14"/>
    <row r="73" s="259" customFormat="1" ht="14"/>
    <row r="74" s="259" customFormat="1" ht="14"/>
    <row r="75" s="259" customFormat="1" ht="14"/>
    <row r="76" s="259" customFormat="1" ht="14"/>
    <row r="77" s="259" customFormat="1" ht="14"/>
    <row r="78" s="259" customFormat="1" ht="14"/>
    <row r="79" s="259" customFormat="1" ht="14"/>
    <row r="80" s="259" customFormat="1" ht="14"/>
    <row r="81" s="259" customFormat="1" ht="14"/>
    <row r="82" s="259" customFormat="1" ht="14"/>
    <row r="83" s="259" customFormat="1" ht="14"/>
    <row r="84" s="259" customFormat="1" ht="14"/>
    <row r="85" s="259" customFormat="1" ht="14"/>
    <row r="86" s="259" customFormat="1" ht="14"/>
    <row r="87" s="259" customFormat="1" ht="14"/>
    <row r="88" s="259" customFormat="1" ht="14"/>
    <row r="89" s="259" customFormat="1" ht="14"/>
    <row r="90" s="259" customFormat="1" ht="14"/>
    <row r="91" s="259" customFormat="1" ht="14"/>
    <row r="92" s="259" customFormat="1" ht="14"/>
    <row r="93" s="259" customFormat="1" ht="14"/>
    <row r="94" s="259" customFormat="1" ht="14"/>
    <row r="95" s="259" customFormat="1" ht="14"/>
    <row r="96" s="259" customFormat="1" ht="14"/>
    <row r="97" s="259" customFormat="1" ht="14"/>
    <row r="98" s="259" customFormat="1" ht="14"/>
    <row r="99" s="259" customFormat="1" ht="14"/>
    <row r="100" s="259" customFormat="1" ht="14"/>
    <row r="101" s="259" customFormat="1" ht="14"/>
    <row r="102" s="259" customFormat="1" ht="14"/>
    <row r="103" s="259" customFormat="1" ht="14"/>
    <row r="104" s="259" customFormat="1" ht="14"/>
    <row r="105" s="259" customFormat="1" ht="14"/>
    <row r="106" s="259" customFormat="1" ht="14"/>
    <row r="107" s="259" customFormat="1" ht="14"/>
    <row r="108" s="259" customFormat="1" ht="14"/>
    <row r="109" s="259" customFormat="1" ht="14"/>
    <row r="110" s="259" customFormat="1" ht="14"/>
    <row r="111" s="259" customFormat="1" ht="14"/>
    <row r="112" s="259" customFormat="1" ht="14"/>
    <row r="113" s="259" customFormat="1" ht="14"/>
    <row r="114" s="259" customFormat="1" ht="14"/>
    <row r="115" s="259" customFormat="1" ht="14"/>
    <row r="116" s="259" customFormat="1" ht="14"/>
    <row r="117" s="259" customFormat="1" ht="14"/>
    <row r="118" s="259" customFormat="1" ht="14"/>
    <row r="119" s="259" customFormat="1" ht="14"/>
    <row r="120" s="259" customFormat="1" ht="14"/>
    <row r="121" s="259" customFormat="1" ht="14"/>
    <row r="122" s="259" customFormat="1" ht="14"/>
    <row r="123" s="259" customFormat="1" ht="14"/>
    <row r="124" s="259" customFormat="1" ht="14"/>
    <row r="125" s="259" customFormat="1" ht="14"/>
    <row r="126" s="259" customFormat="1" ht="14"/>
    <row r="127" s="259" customFormat="1" ht="14"/>
    <row r="128" s="259" customFormat="1" ht="14"/>
    <row r="129" s="259" customFormat="1" ht="14"/>
    <row r="130" s="259" customFormat="1" ht="14"/>
    <row r="131" s="259" customFormat="1" ht="14"/>
    <row r="132" s="259" customFormat="1" ht="14"/>
    <row r="133" s="259" customFormat="1" ht="14"/>
    <row r="134" s="259" customFormat="1" ht="14"/>
    <row r="135" s="259" customFormat="1" ht="14"/>
    <row r="136" s="259" customFormat="1" ht="14"/>
    <row r="137" s="259" customFormat="1" ht="14"/>
    <row r="138" s="259" customFormat="1" ht="14"/>
    <row r="139" s="259" customFormat="1" ht="14"/>
    <row r="140" s="259" customFormat="1" ht="14"/>
    <row r="141" s="259" customFormat="1" ht="14"/>
    <row r="142" s="259" customFormat="1" ht="14"/>
    <row r="143" s="259" customFormat="1" ht="14"/>
    <row r="144" s="259" customFormat="1" ht="14"/>
    <row r="145" s="259" customFormat="1" ht="14"/>
    <row r="146" s="259" customFormat="1" ht="14"/>
    <row r="147" s="259" customFormat="1" ht="14"/>
    <row r="148" s="259" customFormat="1" ht="14"/>
    <row r="149" s="259" customFormat="1" ht="14"/>
    <row r="150" s="259" customFormat="1" ht="14"/>
    <row r="151" s="259" customFormat="1" ht="14"/>
    <row r="152" s="259" customFormat="1" ht="14"/>
    <row r="153" s="259" customFormat="1" ht="14"/>
  </sheetData>
  <sheetProtection sheet="1" objects="1" scenarios="1"/>
  <mergeCells count="35">
    <mergeCell ref="A31:I31"/>
    <mergeCell ref="A38:I38"/>
    <mergeCell ref="A14:F14"/>
    <mergeCell ref="A24:E24"/>
    <mergeCell ref="A22:G23"/>
    <mergeCell ref="A25:E25"/>
    <mergeCell ref="A15:F15"/>
    <mergeCell ref="A20:I20"/>
    <mergeCell ref="A21:I21"/>
    <mergeCell ref="A45:I45"/>
    <mergeCell ref="A52:I52"/>
    <mergeCell ref="A57:J57"/>
    <mergeCell ref="A26:F26"/>
    <mergeCell ref="A37:I37"/>
    <mergeCell ref="A39:G40"/>
    <mergeCell ref="A41:E41"/>
    <mergeCell ref="A44:I44"/>
    <mergeCell ref="A46:G47"/>
    <mergeCell ref="A48:E48"/>
    <mergeCell ref="A30:I30"/>
    <mergeCell ref="A32:G33"/>
    <mergeCell ref="A34:E34"/>
    <mergeCell ref="A51:I51"/>
    <mergeCell ref="A53:G54"/>
    <mergeCell ref="A55:E55"/>
    <mergeCell ref="G8:H8"/>
    <mergeCell ref="G9:H9"/>
    <mergeCell ref="G10:H10"/>
    <mergeCell ref="G11:H11"/>
    <mergeCell ref="A1:I1"/>
    <mergeCell ref="A2:I2"/>
    <mergeCell ref="A3:I3"/>
    <mergeCell ref="A4:I4"/>
    <mergeCell ref="A7:F7"/>
    <mergeCell ref="G7:I7"/>
  </mergeCells>
  <phoneticPr fontId="6" type="noConversion"/>
  <pageMargins left="0.71" right="0.71" top="0.75" bottom="0.75" header="0.31" footer="0.31"/>
  <pageSetup paperSize="9" scale="64" orientation="portrait" r:id="rId1"/>
  <headerFooter>
    <oddFooter>&amp;C&amp;"Calibri,Normal"&amp;8&amp;K000000Løntabel 3F&amp;R&amp;"Calibri,Normal"&amp;8&amp;K000000&amp;P af i alt &amp;N</oddFooter>
  </headerFooter>
  <colBreaks count="1" manualBreakCount="1">
    <brk id="10"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82"/>
  <sheetViews>
    <sheetView view="pageBreakPreview" workbookViewId="0">
      <selection activeCell="A3" sqref="A3:J3"/>
    </sheetView>
  </sheetViews>
  <sheetFormatPr baseColWidth="10" defaultColWidth="8.83203125" defaultRowHeight="13"/>
  <cols>
    <col min="1" max="2" width="11.6640625" style="229" customWidth="1"/>
    <col min="3" max="4" width="13.83203125" style="229" customWidth="1"/>
    <col min="5" max="5" width="13.83203125" style="230" customWidth="1"/>
    <col min="6" max="6" width="13.83203125" style="229" customWidth="1"/>
    <col min="7" max="8" width="13.83203125" style="231" customWidth="1"/>
    <col min="9" max="10" width="13.83203125" style="229" customWidth="1"/>
    <col min="11" max="11" width="11.6640625" style="229" customWidth="1"/>
    <col min="12" max="16384" width="8.83203125" style="229"/>
  </cols>
  <sheetData>
    <row r="1" spans="1:11" s="2" customFormat="1" ht="22" customHeight="1">
      <c r="A1" s="1250" t="s">
        <v>19</v>
      </c>
      <c r="B1" s="1251"/>
      <c r="C1" s="1251"/>
      <c r="D1" s="1251"/>
      <c r="E1" s="1251"/>
      <c r="F1" s="1251"/>
      <c r="G1" s="1251"/>
      <c r="H1" s="1251"/>
      <c r="I1" s="1251"/>
      <c r="J1" s="1252"/>
    </row>
    <row r="2" spans="1:11" s="2" customFormat="1" ht="22" customHeight="1">
      <c r="A2" s="1263" t="s">
        <v>511</v>
      </c>
      <c r="B2" s="1264"/>
      <c r="C2" s="1264"/>
      <c r="D2" s="1264"/>
      <c r="E2" s="1264"/>
      <c r="F2" s="1264"/>
      <c r="G2" s="1264"/>
      <c r="H2" s="1264"/>
      <c r="I2" s="1264"/>
      <c r="J2" s="1265"/>
    </row>
    <row r="3" spans="1:11" s="626" customFormat="1" ht="25" customHeight="1">
      <c r="A3" s="1263" t="str">
        <f>'Forside 1'!A6:I6</f>
        <v>Gældende fra 1. april 2019</v>
      </c>
      <c r="B3" s="1264"/>
      <c r="C3" s="1264"/>
      <c r="D3" s="1264"/>
      <c r="E3" s="1264"/>
      <c r="F3" s="1264"/>
      <c r="G3" s="1264"/>
      <c r="H3" s="1264"/>
      <c r="I3" s="1264"/>
      <c r="J3" s="1265"/>
    </row>
    <row r="4" spans="1:11" s="2" customFormat="1" ht="35" customHeight="1" thickBot="1">
      <c r="A4" s="1896" t="s">
        <v>512</v>
      </c>
      <c r="B4" s="1897"/>
      <c r="C4" s="1897"/>
      <c r="D4" s="1897"/>
      <c r="E4" s="1897"/>
      <c r="F4" s="1897"/>
      <c r="G4" s="1897"/>
      <c r="H4" s="1897"/>
      <c r="I4" s="1897"/>
      <c r="J4" s="1898"/>
    </row>
    <row r="5" spans="1:11" ht="21" thickBot="1">
      <c r="A5" s="1794"/>
      <c r="B5" s="1794"/>
      <c r="C5" s="1794"/>
      <c r="D5" s="1794"/>
      <c r="E5" s="1794"/>
      <c r="F5" s="1794"/>
      <c r="G5" s="1794"/>
      <c r="H5" s="1794"/>
    </row>
    <row r="6" spans="1:11" ht="18">
      <c r="A6" s="1784" t="s">
        <v>513</v>
      </c>
      <c r="B6" s="1785"/>
      <c r="C6" s="1785"/>
      <c r="D6" s="1785"/>
      <c r="E6" s="1785"/>
      <c r="F6" s="1785"/>
      <c r="G6" s="1785"/>
      <c r="H6" s="1785"/>
      <c r="I6" s="1785"/>
      <c r="J6" s="1786"/>
    </row>
    <row r="7" spans="1:11" ht="17" thickBot="1">
      <c r="A7" s="1873" t="s">
        <v>514</v>
      </c>
      <c r="B7" s="1874"/>
      <c r="C7" s="1874"/>
      <c r="D7" s="1874"/>
      <c r="E7" s="1874"/>
      <c r="F7" s="1874"/>
      <c r="G7" s="1874"/>
      <c r="H7" s="1874"/>
      <c r="I7" s="1874"/>
      <c r="J7" s="1875"/>
    </row>
    <row r="8" spans="1:11" ht="16" customHeight="1" thickBot="1">
      <c r="A8" s="1876" t="s">
        <v>527</v>
      </c>
      <c r="B8" s="1877"/>
      <c r="C8" s="1877"/>
      <c r="D8" s="1877"/>
      <c r="E8" s="1877"/>
      <c r="F8" s="1878"/>
      <c r="G8" s="1876" t="s">
        <v>174</v>
      </c>
      <c r="H8" s="1877"/>
      <c r="I8" s="1877"/>
      <c r="J8" s="1878"/>
    </row>
    <row r="9" spans="1:11" ht="30" customHeight="1" thickBot="1">
      <c r="A9" s="934" t="s">
        <v>57</v>
      </c>
      <c r="B9" s="935" t="s">
        <v>76</v>
      </c>
      <c r="C9" s="936" t="s">
        <v>77</v>
      </c>
      <c r="D9" s="936" t="s">
        <v>78</v>
      </c>
      <c r="E9" s="936" t="s">
        <v>79</v>
      </c>
      <c r="F9" s="937" t="s">
        <v>80</v>
      </c>
      <c r="G9" s="934" t="s">
        <v>191</v>
      </c>
      <c r="H9" s="935" t="s">
        <v>193</v>
      </c>
      <c r="I9" s="936" t="s">
        <v>194</v>
      </c>
      <c r="J9" s="942">
        <v>0.15</v>
      </c>
    </row>
    <row r="10" spans="1:11" ht="16" customHeight="1">
      <c r="A10" s="397">
        <v>9</v>
      </c>
      <c r="B10" s="931">
        <f>'Statens skalatrin'!D31</f>
        <v>18970.5</v>
      </c>
      <c r="C10" s="932">
        <f>'Statens skalatrin'!F31</f>
        <v>19348.919999999998</v>
      </c>
      <c r="D10" s="932">
        <f>'Statens skalatrin'!H31</f>
        <v>19611.25</v>
      </c>
      <c r="E10" s="932">
        <f>'Statens skalatrin'!J31</f>
        <v>19989.669999999998</v>
      </c>
      <c r="F10" s="933">
        <f>'Statens skalatrin'!L31</f>
        <v>20251.830000000002</v>
      </c>
      <c r="G10" s="901">
        <f>'Statens skalatrin'!O31</f>
        <v>17661.93</v>
      </c>
      <c r="H10" s="938">
        <f>J10*1/3</f>
        <v>883.09649999999999</v>
      </c>
      <c r="I10" s="939">
        <f>J10*2/3</f>
        <v>1766.193</v>
      </c>
      <c r="J10" s="940">
        <f t="shared" ref="J10:J15" si="0">G10*$J$9</f>
        <v>2649.2894999999999</v>
      </c>
    </row>
    <row r="11" spans="1:11" ht="16" customHeight="1">
      <c r="A11" s="930">
        <v>10</v>
      </c>
      <c r="B11" s="928">
        <f>'Statens skalatrin'!D34</f>
        <v>19289.080000000002</v>
      </c>
      <c r="C11" s="906">
        <f>'Statens skalatrin'!F34</f>
        <v>19677.25</v>
      </c>
      <c r="D11" s="906">
        <f>'Statens skalatrin'!H34</f>
        <v>19945.830000000002</v>
      </c>
      <c r="E11" s="906">
        <f>'Statens skalatrin'!J34</f>
        <v>20333.830000000002</v>
      </c>
      <c r="F11" s="915">
        <f>'Statens skalatrin'!L34</f>
        <v>20602.669999999998</v>
      </c>
      <c r="G11" s="854">
        <f>'Statens skalatrin'!O34</f>
        <v>17960.66</v>
      </c>
      <c r="H11" s="912">
        <f t="shared" ref="H11:H15" si="1">J11*1/3</f>
        <v>898.0329999999999</v>
      </c>
      <c r="I11" s="905">
        <f t="shared" ref="I11:I15" si="2">J11*2/3</f>
        <v>1796.0659999999998</v>
      </c>
      <c r="J11" s="907">
        <f t="shared" si="0"/>
        <v>2694.0989999999997</v>
      </c>
    </row>
    <row r="12" spans="1:11" ht="16" customHeight="1">
      <c r="A12" s="930">
        <v>11</v>
      </c>
      <c r="B12" s="928">
        <f>'Statens skalatrin'!D37</f>
        <v>19540.5</v>
      </c>
      <c r="C12" s="906">
        <f>'Statens skalatrin'!F37</f>
        <v>19938.25</v>
      </c>
      <c r="D12" s="906">
        <f>'Statens skalatrin'!H37</f>
        <v>20213.580000000002</v>
      </c>
      <c r="E12" s="906">
        <f>'Statens skalatrin'!J37</f>
        <v>20611.330000000002</v>
      </c>
      <c r="F12" s="915">
        <f>'Statens skalatrin'!L37</f>
        <v>20886.580000000002</v>
      </c>
      <c r="G12" s="854">
        <f>'Statens skalatrin'!O37</f>
        <v>18267.54</v>
      </c>
      <c r="H12" s="912">
        <f t="shared" si="1"/>
        <v>913.37699999999995</v>
      </c>
      <c r="I12" s="905">
        <f t="shared" si="2"/>
        <v>1826.7539999999999</v>
      </c>
      <c r="J12" s="907">
        <f t="shared" si="0"/>
        <v>2740.1309999999999</v>
      </c>
    </row>
    <row r="13" spans="1:11" ht="16" customHeight="1">
      <c r="A13" s="930">
        <v>12</v>
      </c>
      <c r="B13" s="928">
        <f>'Statens skalatrin'!D40</f>
        <v>19876.919999999998</v>
      </c>
      <c r="C13" s="906">
        <f>'Statens skalatrin'!F40</f>
        <v>20284.669999999998</v>
      </c>
      <c r="D13" s="906">
        <f>'Statens skalatrin'!H40</f>
        <v>20567.080000000002</v>
      </c>
      <c r="E13" s="906">
        <f>'Statens skalatrin'!J40</f>
        <v>20974.67</v>
      </c>
      <c r="F13" s="915">
        <f>'Statens skalatrin'!L40</f>
        <v>21256.92</v>
      </c>
      <c r="G13" s="854">
        <f>'Statens skalatrin'!O40</f>
        <v>18582.91</v>
      </c>
      <c r="H13" s="912">
        <f t="shared" si="1"/>
        <v>929.14549999999997</v>
      </c>
      <c r="I13" s="905">
        <f t="shared" si="2"/>
        <v>1858.2909999999999</v>
      </c>
      <c r="J13" s="907">
        <f t="shared" si="0"/>
        <v>2787.4364999999998</v>
      </c>
    </row>
    <row r="14" spans="1:11" ht="16" customHeight="1">
      <c r="A14" s="930">
        <v>13</v>
      </c>
      <c r="B14" s="928">
        <f>'Statens skalatrin'!D43</f>
        <v>20222.830000000002</v>
      </c>
      <c r="C14" s="906">
        <f>'Statens skalatrin'!F43</f>
        <v>20640.830000000002</v>
      </c>
      <c r="D14" s="906">
        <f>'Statens skalatrin'!H43</f>
        <v>20930.080000000002</v>
      </c>
      <c r="E14" s="906">
        <f>'Statens skalatrin'!J43</f>
        <v>21348.25</v>
      </c>
      <c r="F14" s="915">
        <f>'Statens skalatrin'!L43</f>
        <v>21637.5</v>
      </c>
      <c r="G14" s="854">
        <f>'Statens skalatrin'!O43</f>
        <v>18906.93</v>
      </c>
      <c r="H14" s="912">
        <f t="shared" si="1"/>
        <v>945.34649999999999</v>
      </c>
      <c r="I14" s="905">
        <f t="shared" si="2"/>
        <v>1890.693</v>
      </c>
      <c r="J14" s="907">
        <f t="shared" si="0"/>
        <v>2836.0394999999999</v>
      </c>
    </row>
    <row r="15" spans="1:11" ht="16" customHeight="1" thickBot="1">
      <c r="A15" s="317">
        <v>14</v>
      </c>
      <c r="B15" s="929">
        <f>'Statens skalatrin'!D46</f>
        <v>20578.169999999998</v>
      </c>
      <c r="C15" s="918">
        <f>'Statens skalatrin'!F46</f>
        <v>21006.67</v>
      </c>
      <c r="D15" s="918">
        <f>'Statens skalatrin'!H46</f>
        <v>21303.33</v>
      </c>
      <c r="E15" s="918">
        <f>'Statens skalatrin'!J46</f>
        <v>21731.75</v>
      </c>
      <c r="F15" s="919">
        <f>'Statens skalatrin'!L46</f>
        <v>22028.42</v>
      </c>
      <c r="G15" s="920">
        <f>'Statens skalatrin'!O46</f>
        <v>19239.919999999998</v>
      </c>
      <c r="H15" s="921">
        <f t="shared" si="1"/>
        <v>961.99599999999998</v>
      </c>
      <c r="I15" s="922">
        <f t="shared" si="2"/>
        <v>1923.992</v>
      </c>
      <c r="J15" s="923">
        <f t="shared" si="0"/>
        <v>2885.9879999999998</v>
      </c>
    </row>
    <row r="16" spans="1:11" ht="15" customHeight="1" thickBot="1">
      <c r="A16" s="1004"/>
      <c r="B16" s="979"/>
      <c r="C16" s="924"/>
      <c r="D16" s="924"/>
      <c r="E16" s="924"/>
      <c r="F16" s="924"/>
      <c r="G16" s="943"/>
      <c r="H16" s="925"/>
      <c r="I16" s="925"/>
      <c r="J16" s="925"/>
      <c r="K16" s="925"/>
    </row>
    <row r="17" spans="1:11" ht="20" customHeight="1">
      <c r="A17" s="1784" t="s">
        <v>515</v>
      </c>
      <c r="B17" s="1785"/>
      <c r="C17" s="1785"/>
      <c r="D17" s="1785"/>
      <c r="E17" s="1785"/>
      <c r="F17" s="1785"/>
      <c r="G17" s="1785"/>
      <c r="H17" s="1785"/>
      <c r="I17" s="1785"/>
      <c r="J17" s="1786"/>
    </row>
    <row r="18" spans="1:11" ht="20" customHeight="1" thickBot="1">
      <c r="A18" s="1873" t="s">
        <v>514</v>
      </c>
      <c r="B18" s="1874"/>
      <c r="C18" s="1874"/>
      <c r="D18" s="1874"/>
      <c r="E18" s="1874"/>
      <c r="F18" s="1874"/>
      <c r="G18" s="1874"/>
      <c r="H18" s="1874"/>
      <c r="I18" s="1874"/>
      <c r="J18" s="1875"/>
    </row>
    <row r="19" spans="1:11" ht="20" customHeight="1" thickBot="1">
      <c r="A19" s="1876" t="s">
        <v>527</v>
      </c>
      <c r="B19" s="1877"/>
      <c r="C19" s="1877"/>
      <c r="D19" s="1877"/>
      <c r="E19" s="1877"/>
      <c r="F19" s="1878"/>
      <c r="G19" s="1876" t="s">
        <v>174</v>
      </c>
      <c r="H19" s="1879"/>
      <c r="I19" s="1879"/>
      <c r="J19" s="1880"/>
    </row>
    <row r="20" spans="1:11" ht="30" customHeight="1" thickBot="1">
      <c r="A20" s="934" t="s">
        <v>57</v>
      </c>
      <c r="B20" s="956" t="s">
        <v>76</v>
      </c>
      <c r="C20" s="951" t="s">
        <v>77</v>
      </c>
      <c r="D20" s="951" t="s">
        <v>78</v>
      </c>
      <c r="E20" s="951" t="s">
        <v>79</v>
      </c>
      <c r="F20" s="952" t="s">
        <v>80</v>
      </c>
      <c r="G20" s="484" t="s">
        <v>191</v>
      </c>
      <c r="H20" s="941" t="s">
        <v>193</v>
      </c>
      <c r="I20" s="936" t="s">
        <v>194</v>
      </c>
      <c r="J20" s="942">
        <v>0.15</v>
      </c>
    </row>
    <row r="21" spans="1:11" ht="16" customHeight="1">
      <c r="A21" s="944">
        <v>16</v>
      </c>
      <c r="B21" s="953">
        <f>'Statens skalatrin'!D52</f>
        <v>21222.92</v>
      </c>
      <c r="C21" s="954">
        <f>'Statens skalatrin'!F52</f>
        <v>21673.33</v>
      </c>
      <c r="D21" s="954">
        <f>'Statens skalatrin'!H52</f>
        <v>21985.25</v>
      </c>
      <c r="E21" s="954">
        <f>'Statens skalatrin'!J52</f>
        <v>22435.58</v>
      </c>
      <c r="F21" s="955">
        <f>'Statens skalatrin'!L52</f>
        <v>22747.5</v>
      </c>
      <c r="G21" s="948">
        <f>'Statens skalatrin'!O52</f>
        <v>19933.48</v>
      </c>
      <c r="H21" s="938">
        <f>J21*1/3</f>
        <v>996.67399999999998</v>
      </c>
      <c r="I21" s="939">
        <f>J21*2/3</f>
        <v>1993.348</v>
      </c>
      <c r="J21" s="940">
        <f>G21*$J$9</f>
        <v>2990.0219999999999</v>
      </c>
    </row>
    <row r="22" spans="1:11" ht="16" customHeight="1">
      <c r="A22" s="911">
        <v>18</v>
      </c>
      <c r="B22" s="914">
        <f>'Statens skalatrin'!D58</f>
        <v>22004.42</v>
      </c>
      <c r="C22" s="906">
        <f>'Statens skalatrin'!F58</f>
        <v>22478.080000000002</v>
      </c>
      <c r="D22" s="906">
        <f>'Statens skalatrin'!H58</f>
        <v>22805.919999999998</v>
      </c>
      <c r="E22" s="906">
        <f>'Statens skalatrin'!J58</f>
        <v>23279.5</v>
      </c>
      <c r="F22" s="915">
        <f>'Statens skalatrin'!L58</f>
        <v>23607.25</v>
      </c>
      <c r="G22" s="949">
        <f>'Statens skalatrin'!O58</f>
        <v>20665.7</v>
      </c>
      <c r="H22" s="912">
        <f t="shared" ref="H22:H26" si="3">J22*1/3</f>
        <v>1033.2850000000001</v>
      </c>
      <c r="I22" s="905">
        <f t="shared" ref="I22:I26" si="4">J22*2/3</f>
        <v>2066.5700000000002</v>
      </c>
      <c r="J22" s="907">
        <f>G22*$J$9</f>
        <v>3099.855</v>
      </c>
    </row>
    <row r="23" spans="1:11" s="628" customFormat="1" ht="16" customHeight="1">
      <c r="A23" s="911">
        <v>20</v>
      </c>
      <c r="B23" s="914">
        <f>'Statens skalatrin'!D64</f>
        <v>22607.08</v>
      </c>
      <c r="C23" s="906">
        <f>'Statens skalatrin'!F64</f>
        <v>23105</v>
      </c>
      <c r="D23" s="906">
        <f>'Statens skalatrin'!H64</f>
        <v>23449.83</v>
      </c>
      <c r="E23" s="906">
        <f>'Statens skalatrin'!J64</f>
        <v>23947.75</v>
      </c>
      <c r="F23" s="915">
        <f>'Statens skalatrin'!L64</f>
        <v>24292.42</v>
      </c>
      <c r="G23" s="949">
        <f>'Statens skalatrin'!O64</f>
        <v>21438.71</v>
      </c>
      <c r="H23" s="912">
        <f t="shared" si="3"/>
        <v>1071.9354999999998</v>
      </c>
      <c r="I23" s="905">
        <f t="shared" si="4"/>
        <v>2143.8709999999996</v>
      </c>
      <c r="J23" s="907">
        <f>G23*$J$9</f>
        <v>3215.8064999999997</v>
      </c>
    </row>
    <row r="24" spans="1:11" s="628" customFormat="1" ht="16" customHeight="1">
      <c r="A24" s="911">
        <v>22</v>
      </c>
      <c r="B24" s="914">
        <f>'Statens skalatrin'!D70</f>
        <v>23328</v>
      </c>
      <c r="C24" s="906">
        <f>'Statens skalatrin'!F70</f>
        <v>23838.75</v>
      </c>
      <c r="D24" s="906">
        <f>'Statens skalatrin'!H70</f>
        <v>24192.33</v>
      </c>
      <c r="E24" s="906">
        <f>'Statens skalatrin'!J70</f>
        <v>24703.08</v>
      </c>
      <c r="F24" s="915">
        <f>'Statens skalatrin'!L70</f>
        <v>25056.67</v>
      </c>
      <c r="G24" s="949">
        <f>'Statens skalatrin'!O70</f>
        <v>22243.69</v>
      </c>
      <c r="H24" s="912">
        <f t="shared" si="3"/>
        <v>1112.1844999999998</v>
      </c>
      <c r="I24" s="905">
        <f t="shared" si="4"/>
        <v>2224.3689999999997</v>
      </c>
      <c r="J24" s="907">
        <f t="shared" ref="J24:J25" si="5">G24*$J$9</f>
        <v>3336.5534999999995</v>
      </c>
    </row>
    <row r="25" spans="1:11" ht="16" customHeight="1">
      <c r="A25" s="911">
        <v>24</v>
      </c>
      <c r="B25" s="914">
        <f>'Statens skalatrin'!D76</f>
        <v>24082.5</v>
      </c>
      <c r="C25" s="906">
        <f>'Statens skalatrin'!F76</f>
        <v>24565.08</v>
      </c>
      <c r="D25" s="906">
        <f>'Statens skalatrin'!H76</f>
        <v>24899.25</v>
      </c>
      <c r="E25" s="906">
        <f>'Statens skalatrin'!J76</f>
        <v>25381.919999999998</v>
      </c>
      <c r="F25" s="915">
        <f>'Statens skalatrin'!L76</f>
        <v>25716.080000000002</v>
      </c>
      <c r="G25" s="949">
        <f>'Statens skalatrin'!O76</f>
        <v>23057.79</v>
      </c>
      <c r="H25" s="912">
        <f t="shared" si="3"/>
        <v>1152.8895</v>
      </c>
      <c r="I25" s="905">
        <f t="shared" si="4"/>
        <v>2305.779</v>
      </c>
      <c r="J25" s="907">
        <f t="shared" si="5"/>
        <v>3458.6685000000002</v>
      </c>
    </row>
    <row r="26" spans="1:11" ht="16" customHeight="1" thickBot="1">
      <c r="A26" s="926">
        <v>26</v>
      </c>
      <c r="B26" s="917">
        <f>'Statens skalatrin'!D82</f>
        <v>24874.42</v>
      </c>
      <c r="C26" s="918">
        <f>'Statens skalatrin'!F82</f>
        <v>25325.75</v>
      </c>
      <c r="D26" s="918">
        <f>'Statens skalatrin'!H82</f>
        <v>25638.25</v>
      </c>
      <c r="E26" s="918">
        <f>'Statens skalatrin'!J82</f>
        <v>26089.67</v>
      </c>
      <c r="F26" s="919">
        <f>'Statens skalatrin'!L82</f>
        <v>26402.080000000002</v>
      </c>
      <c r="G26" s="950">
        <f>'Statens skalatrin'!O82</f>
        <v>23915.83</v>
      </c>
      <c r="H26" s="921">
        <f t="shared" si="3"/>
        <v>1195.7915</v>
      </c>
      <c r="I26" s="922">
        <f t="shared" si="4"/>
        <v>2391.5830000000001</v>
      </c>
      <c r="J26" s="923">
        <f>G26*$J$9</f>
        <v>3587.3745000000004</v>
      </c>
    </row>
    <row r="27" spans="1:11" ht="20" customHeight="1" thickBot="1">
      <c r="A27" s="1005"/>
      <c r="B27" s="980"/>
      <c r="C27" s="924"/>
      <c r="D27" s="924"/>
      <c r="E27" s="924"/>
      <c r="F27" s="924"/>
      <c r="G27" s="924"/>
      <c r="H27" s="924"/>
      <c r="I27" s="925"/>
      <c r="J27" s="925"/>
      <c r="K27" s="927"/>
    </row>
    <row r="28" spans="1:11" ht="20" customHeight="1">
      <c r="A28" s="1784" t="s">
        <v>516</v>
      </c>
      <c r="B28" s="1785"/>
      <c r="C28" s="1785"/>
      <c r="D28" s="1785"/>
      <c r="E28" s="1785"/>
      <c r="F28" s="1785"/>
      <c r="G28" s="1785"/>
      <c r="H28" s="1785"/>
      <c r="I28" s="1785"/>
      <c r="J28" s="1786"/>
    </row>
    <row r="29" spans="1:11" ht="20" customHeight="1" thickBot="1">
      <c r="A29" s="1873" t="s">
        <v>514</v>
      </c>
      <c r="B29" s="1874"/>
      <c r="C29" s="1874"/>
      <c r="D29" s="1874"/>
      <c r="E29" s="1874"/>
      <c r="F29" s="1874"/>
      <c r="G29" s="1874"/>
      <c r="H29" s="1874"/>
      <c r="I29" s="1874"/>
      <c r="J29" s="1875"/>
    </row>
    <row r="30" spans="1:11" s="438" customFormat="1" ht="20" customHeight="1" thickBot="1">
      <c r="A30" s="1876" t="s">
        <v>527</v>
      </c>
      <c r="B30" s="1877"/>
      <c r="C30" s="1877"/>
      <c r="D30" s="1877"/>
      <c r="E30" s="1877"/>
      <c r="F30" s="1878"/>
      <c r="G30" s="1876" t="s">
        <v>174</v>
      </c>
      <c r="H30" s="1877"/>
      <c r="I30" s="1877"/>
      <c r="J30" s="1878"/>
    </row>
    <row r="31" spans="1:11" ht="30" customHeight="1" thickBot="1">
      <c r="A31" s="484" t="s">
        <v>57</v>
      </c>
      <c r="B31" s="941" t="s">
        <v>76</v>
      </c>
      <c r="C31" s="936" t="s">
        <v>77</v>
      </c>
      <c r="D31" s="936" t="s">
        <v>78</v>
      </c>
      <c r="E31" s="936" t="s">
        <v>79</v>
      </c>
      <c r="F31" s="946" t="s">
        <v>80</v>
      </c>
      <c r="G31" s="934" t="s">
        <v>191</v>
      </c>
      <c r="H31" s="959" t="s">
        <v>193</v>
      </c>
      <c r="I31" s="934" t="s">
        <v>194</v>
      </c>
      <c r="J31" s="960">
        <v>0.15</v>
      </c>
    </row>
    <row r="32" spans="1:11" ht="16" customHeight="1">
      <c r="A32" s="930">
        <v>27</v>
      </c>
      <c r="B32" s="931">
        <f>'Statens skalatrin'!D85</f>
        <v>25283.5</v>
      </c>
      <c r="C32" s="932">
        <f>'Statens skalatrin'!F85</f>
        <v>25717.42</v>
      </c>
      <c r="D32" s="932">
        <f>'Statens skalatrin'!H85</f>
        <v>26018.17</v>
      </c>
      <c r="E32" s="932">
        <f>'Statens skalatrin'!J85</f>
        <v>26452.25</v>
      </c>
      <c r="F32" s="947">
        <f>'Statens skalatrin'!L85</f>
        <v>26752.83</v>
      </c>
      <c r="G32" s="958">
        <f>'Statens skalatrin'!O85</f>
        <v>24361.67</v>
      </c>
      <c r="H32" s="938">
        <f>J32*1/3</f>
        <v>1218.0835</v>
      </c>
      <c r="I32" s="939">
        <f>J32*2/3</f>
        <v>2436.1669999999999</v>
      </c>
      <c r="J32" s="940">
        <f>G32*$J$9</f>
        <v>3654.2504999999996</v>
      </c>
    </row>
    <row r="33" spans="1:11" ht="16" customHeight="1">
      <c r="A33" s="930">
        <v>29</v>
      </c>
      <c r="B33" s="928">
        <f>'Statens skalatrin'!D91</f>
        <v>26129.5</v>
      </c>
      <c r="C33" s="906">
        <f>'Statens skalatrin'!F91</f>
        <v>26525.5</v>
      </c>
      <c r="D33" s="906">
        <f>'Statens skalatrin'!H91</f>
        <v>26799.75</v>
      </c>
      <c r="E33" s="906">
        <f>'Statens skalatrin'!J91</f>
        <v>27195.75</v>
      </c>
      <c r="F33" s="957">
        <f>'Statens skalatrin'!L91</f>
        <v>27469.83</v>
      </c>
      <c r="G33" s="693">
        <f>'Statens skalatrin'!O91</f>
        <v>25288.82</v>
      </c>
      <c r="H33" s="912">
        <f t="shared" ref="H33:H35" si="6">J33*1/3</f>
        <v>1264.441</v>
      </c>
      <c r="I33" s="905">
        <f t="shared" ref="I33:I35" si="7">J33*2/3</f>
        <v>2528.8820000000001</v>
      </c>
      <c r="J33" s="907">
        <f>G33*$J$9</f>
        <v>3793.3229999999999</v>
      </c>
    </row>
    <row r="34" spans="1:11" ht="16" customHeight="1">
      <c r="A34" s="930">
        <v>31</v>
      </c>
      <c r="B34" s="928">
        <f>'Statens skalatrin'!D97</f>
        <v>27013.83</v>
      </c>
      <c r="C34" s="906">
        <f>'Statens skalatrin'!F97</f>
        <v>27366.5</v>
      </c>
      <c r="D34" s="906">
        <f>'Statens skalatrin'!H97</f>
        <v>27610.83</v>
      </c>
      <c r="E34" s="906">
        <f>'Statens skalatrin'!J97</f>
        <v>27963.5</v>
      </c>
      <c r="F34" s="957">
        <f>'Statens skalatrin'!L97</f>
        <v>28207.67</v>
      </c>
      <c r="G34" s="693">
        <f>'Statens skalatrin'!O97</f>
        <v>26265.03</v>
      </c>
      <c r="H34" s="912">
        <f t="shared" si="6"/>
        <v>1313.2514999999999</v>
      </c>
      <c r="I34" s="905">
        <f t="shared" si="7"/>
        <v>2626.5029999999997</v>
      </c>
      <c r="J34" s="907">
        <f>G34*$J$9</f>
        <v>3939.7544999999996</v>
      </c>
    </row>
    <row r="35" spans="1:11" s="628" customFormat="1" ht="16" customHeight="1" thickBot="1">
      <c r="A35" s="317">
        <v>33</v>
      </c>
      <c r="B35" s="961">
        <f>'Statens skalatrin'!D103</f>
        <v>27937.919999999998</v>
      </c>
      <c r="C35" s="908">
        <f>'Statens skalatrin'!F103</f>
        <v>28241.58</v>
      </c>
      <c r="D35" s="908">
        <f>'Statens skalatrin'!H103</f>
        <v>28452.080000000002</v>
      </c>
      <c r="E35" s="908">
        <f>'Statens skalatrin'!J103</f>
        <v>28755.83</v>
      </c>
      <c r="F35" s="962">
        <f>'Statens skalatrin'!L103</f>
        <v>28966.25</v>
      </c>
      <c r="G35" s="694">
        <f>'Statens skalatrin'!O103</f>
        <v>27292.91</v>
      </c>
      <c r="H35" s="913">
        <f t="shared" si="6"/>
        <v>1364.6454999999999</v>
      </c>
      <c r="I35" s="909">
        <f t="shared" si="7"/>
        <v>2729.2909999999997</v>
      </c>
      <c r="J35" s="910">
        <f t="shared" ref="J35" si="8">G35*$J$9</f>
        <v>4093.9364999999998</v>
      </c>
    </row>
    <row r="36" spans="1:11" s="963" customFormat="1" ht="20" customHeight="1" thickBot="1">
      <c r="A36" s="1005"/>
      <c r="B36" s="980"/>
      <c r="C36" s="924"/>
      <c r="D36" s="924"/>
      <c r="E36" s="924"/>
      <c r="F36" s="924"/>
      <c r="G36" s="924"/>
      <c r="H36" s="924"/>
      <c r="I36" s="925"/>
      <c r="J36" s="925"/>
      <c r="K36" s="927"/>
    </row>
    <row r="37" spans="1:11" s="628" customFormat="1" ht="20" customHeight="1">
      <c r="A37" s="1784" t="s">
        <v>517</v>
      </c>
      <c r="B37" s="1785"/>
      <c r="C37" s="1785"/>
      <c r="D37" s="1785"/>
      <c r="E37" s="1785"/>
      <c r="F37" s="1785"/>
      <c r="G37" s="1785"/>
      <c r="H37" s="1785"/>
      <c r="I37" s="1785"/>
      <c r="J37" s="1786"/>
    </row>
    <row r="38" spans="1:11" ht="20" customHeight="1" thickBot="1">
      <c r="A38" s="1873" t="s">
        <v>514</v>
      </c>
      <c r="B38" s="1874"/>
      <c r="C38" s="1874"/>
      <c r="D38" s="1874"/>
      <c r="E38" s="1874"/>
      <c r="F38" s="1874"/>
      <c r="G38" s="1874"/>
      <c r="H38" s="1874"/>
      <c r="I38" s="1874"/>
      <c r="J38" s="1875"/>
    </row>
    <row r="39" spans="1:11" ht="20" customHeight="1" thickBot="1">
      <c r="A39" s="1876" t="s">
        <v>527</v>
      </c>
      <c r="B39" s="1877"/>
      <c r="C39" s="1877"/>
      <c r="D39" s="1877"/>
      <c r="E39" s="1877"/>
      <c r="F39" s="1878"/>
      <c r="G39" s="1876" t="s">
        <v>174</v>
      </c>
      <c r="H39" s="1877"/>
      <c r="I39" s="1877"/>
      <c r="J39" s="1878"/>
    </row>
    <row r="40" spans="1:11" ht="30" customHeight="1" thickBot="1">
      <c r="A40" s="484" t="s">
        <v>57</v>
      </c>
      <c r="B40" s="941" t="s">
        <v>76</v>
      </c>
      <c r="C40" s="936" t="s">
        <v>77</v>
      </c>
      <c r="D40" s="936" t="s">
        <v>78</v>
      </c>
      <c r="E40" s="936" t="s">
        <v>79</v>
      </c>
      <c r="F40" s="937" t="s">
        <v>80</v>
      </c>
      <c r="G40" s="959" t="s">
        <v>191</v>
      </c>
      <c r="H40" s="959" t="s">
        <v>193</v>
      </c>
      <c r="I40" s="934" t="s">
        <v>194</v>
      </c>
      <c r="J40" s="960">
        <v>0.15</v>
      </c>
    </row>
    <row r="41" spans="1:11" s="259" customFormat="1" ht="16" customHeight="1">
      <c r="A41" s="930">
        <v>34</v>
      </c>
      <c r="B41" s="945">
        <f>'Statens skalatrin'!D106</f>
        <v>28415.42</v>
      </c>
      <c r="C41" s="931">
        <f>'Statens skalatrin'!F106</f>
        <v>28692.58</v>
      </c>
      <c r="D41" s="931">
        <f>'Statens skalatrin'!H106</f>
        <v>28884.42</v>
      </c>
      <c r="E41" s="931">
        <f>'Statens skalatrin'!J106</f>
        <v>29161.33</v>
      </c>
      <c r="F41" s="966">
        <f>'Statens skalatrin'!L106</f>
        <v>29353.17</v>
      </c>
      <c r="G41" s="970">
        <f>'Statens skalatrin'!O106</f>
        <v>27827.119999999999</v>
      </c>
      <c r="H41" s="938">
        <f>J41*1/3</f>
        <v>1391.3559999999998</v>
      </c>
      <c r="I41" s="939">
        <f>J41*2/3</f>
        <v>2782.7119999999995</v>
      </c>
      <c r="J41" s="940">
        <f>G41*$J$9</f>
        <v>4174.0679999999993</v>
      </c>
    </row>
    <row r="42" spans="1:11" s="259" customFormat="1" ht="16" customHeight="1">
      <c r="A42" s="930">
        <v>36</v>
      </c>
      <c r="B42" s="914">
        <f>'Statens skalatrin'!D112</f>
        <v>29402.33</v>
      </c>
      <c r="C42" s="928">
        <f>'Statens skalatrin'!F112</f>
        <v>29621.17</v>
      </c>
      <c r="D42" s="928">
        <f>'Statens skalatrin'!H112</f>
        <v>29772.67</v>
      </c>
      <c r="E42" s="928">
        <f>'Statens skalatrin'!J112</f>
        <v>29991.58</v>
      </c>
      <c r="F42" s="949">
        <f>'Statens skalatrin'!L112</f>
        <v>30143</v>
      </c>
      <c r="G42" s="693">
        <f>'Statens skalatrin'!O112</f>
        <v>28937.71</v>
      </c>
      <c r="H42" s="912">
        <f t="shared" ref="H42:H45" si="9">J42*1/3</f>
        <v>1446.8855000000001</v>
      </c>
      <c r="I42" s="905">
        <f t="shared" ref="I42:I45" si="10">J42*2/3</f>
        <v>2893.7710000000002</v>
      </c>
      <c r="J42" s="907">
        <f>G42*$J$9</f>
        <v>4340.6565000000001</v>
      </c>
    </row>
    <row r="43" spans="1:11" s="259" customFormat="1" ht="16" customHeight="1">
      <c r="A43" s="930">
        <v>40</v>
      </c>
      <c r="B43" s="914">
        <f>'Statens skalatrin'!D124</f>
        <v>31549.75</v>
      </c>
      <c r="C43" s="928">
        <f>'Statens skalatrin'!F124</f>
        <v>31632.17</v>
      </c>
      <c r="D43" s="928">
        <f>'Statens skalatrin'!H124</f>
        <v>31689.33</v>
      </c>
      <c r="E43" s="928">
        <f>'Statens skalatrin'!J124</f>
        <v>31771.83</v>
      </c>
      <c r="F43" s="949">
        <f>'Statens skalatrin'!L124</f>
        <v>31828.92</v>
      </c>
      <c r="G43" s="693">
        <f>'Statens skalatrin'!O124</f>
        <v>31374.49</v>
      </c>
      <c r="H43" s="912">
        <f t="shared" si="9"/>
        <v>1568.7245</v>
      </c>
      <c r="I43" s="905">
        <f t="shared" si="10"/>
        <v>3137.4490000000001</v>
      </c>
      <c r="J43" s="907">
        <f>G43*$J$9</f>
        <v>4706.1734999999999</v>
      </c>
    </row>
    <row r="44" spans="1:11" s="259" customFormat="1" ht="16" customHeight="1">
      <c r="A44" s="964">
        <v>42</v>
      </c>
      <c r="B44" s="967">
        <f>'Statens skalatrin'!D130</f>
        <v>32697.42</v>
      </c>
      <c r="C44" s="965">
        <f>'Statens skalatrin'!F130</f>
        <v>32697.42</v>
      </c>
      <c r="D44" s="965">
        <f>'Statens skalatrin'!H130</f>
        <v>32697.42</v>
      </c>
      <c r="E44" s="965">
        <f>'Statens skalatrin'!J130</f>
        <v>32697.42</v>
      </c>
      <c r="F44" s="968">
        <f>'Statens skalatrin'!L130</f>
        <v>32697.42</v>
      </c>
      <c r="G44" s="904">
        <f>'Statens skalatrin'!O130</f>
        <v>32697.34</v>
      </c>
      <c r="H44" s="912">
        <f t="shared" si="9"/>
        <v>1634.867</v>
      </c>
      <c r="I44" s="905">
        <f t="shared" si="10"/>
        <v>3269.7339999999999</v>
      </c>
      <c r="J44" s="907">
        <f>G44*$J$9</f>
        <v>4904.6009999999997</v>
      </c>
    </row>
    <row r="45" spans="1:11" s="242" customFormat="1" ht="16" customHeight="1" thickBot="1">
      <c r="A45" s="317">
        <v>43</v>
      </c>
      <c r="B45" s="916">
        <f>'Statens skalatrin'!D133</f>
        <v>33423.33</v>
      </c>
      <c r="C45" s="961">
        <f>'Statens skalatrin'!F133</f>
        <v>33423.33</v>
      </c>
      <c r="D45" s="961">
        <f>'Statens skalatrin'!H133</f>
        <v>33423.33</v>
      </c>
      <c r="E45" s="961">
        <f>'Statens skalatrin'!J133</f>
        <v>33423.33</v>
      </c>
      <c r="F45" s="969">
        <f>'Statens skalatrin'!L133</f>
        <v>33423.33</v>
      </c>
      <c r="G45" s="694">
        <f>'Statens skalatrin'!O133</f>
        <v>33423.26</v>
      </c>
      <c r="H45" s="913">
        <f t="shared" si="9"/>
        <v>1671.1630000000002</v>
      </c>
      <c r="I45" s="909">
        <f t="shared" si="10"/>
        <v>3342.3260000000005</v>
      </c>
      <c r="J45" s="910">
        <f t="shared" ref="J45" si="11">G45*$J$9</f>
        <v>5013.4890000000005</v>
      </c>
    </row>
    <row r="46" spans="1:11" s="276" customFormat="1" ht="20" customHeight="1" thickBot="1">
      <c r="A46" s="1005"/>
      <c r="B46" s="980"/>
      <c r="C46" s="924"/>
      <c r="D46" s="924"/>
      <c r="E46" s="924"/>
      <c r="F46" s="924"/>
      <c r="G46" s="943"/>
      <c r="H46" s="924"/>
      <c r="I46" s="925"/>
      <c r="J46" s="925"/>
      <c r="K46" s="925"/>
    </row>
    <row r="47" spans="1:11" s="242" customFormat="1" ht="20" customHeight="1">
      <c r="A47" s="1139" t="s">
        <v>198</v>
      </c>
      <c r="B47" s="1276"/>
      <c r="C47" s="1276"/>
      <c r="D47" s="1276"/>
      <c r="E47" s="1276"/>
      <c r="F47" s="1276"/>
      <c r="G47" s="1276"/>
      <c r="H47" s="1276"/>
      <c r="I47" s="1276"/>
      <c r="J47" s="1277"/>
    </row>
    <row r="48" spans="1:11" s="242" customFormat="1" ht="17" customHeight="1" thickBot="1">
      <c r="A48" s="1881" t="s">
        <v>334</v>
      </c>
      <c r="B48" s="1882"/>
      <c r="C48" s="1882"/>
      <c r="D48" s="1882"/>
      <c r="E48" s="1882"/>
      <c r="F48" s="1882"/>
      <c r="G48" s="1882"/>
      <c r="H48" s="1882"/>
      <c r="I48" s="1882"/>
      <c r="J48" s="1883"/>
    </row>
    <row r="49" spans="1:14" s="242" customFormat="1" ht="16">
      <c r="A49" s="971"/>
      <c r="B49" s="972"/>
      <c r="C49" s="972"/>
      <c r="D49" s="972"/>
      <c r="E49" s="972"/>
      <c r="F49" s="975"/>
      <c r="G49" s="1890" t="s">
        <v>373</v>
      </c>
      <c r="H49" s="1891"/>
      <c r="I49" s="1890" t="s">
        <v>374</v>
      </c>
      <c r="J49" s="1891"/>
      <c r="K49" s="229"/>
      <c r="L49" s="229"/>
      <c r="M49" s="229"/>
    </row>
    <row r="50" spans="1:14" s="242" customFormat="1" ht="17" thickBot="1">
      <c r="A50" s="973"/>
      <c r="B50" s="974"/>
      <c r="C50" s="974"/>
      <c r="D50" s="974"/>
      <c r="E50" s="974"/>
      <c r="F50" s="899"/>
      <c r="G50" s="1892">
        <v>40999</v>
      </c>
      <c r="H50" s="1893"/>
      <c r="I50" s="1892" t="str">
        <f>'Løntabel gældende fra'!$D$1</f>
        <v>01/04/2019</v>
      </c>
      <c r="J50" s="1893"/>
      <c r="K50" s="229"/>
      <c r="L50" s="229"/>
      <c r="M50" s="229"/>
    </row>
    <row r="51" spans="1:14" s="242" customFormat="1" ht="16" customHeight="1" thickBot="1">
      <c r="A51" s="1884" t="s">
        <v>530</v>
      </c>
      <c r="B51" s="1885"/>
      <c r="C51" s="1885"/>
      <c r="D51" s="1885"/>
      <c r="E51" s="1885"/>
      <c r="F51" s="1886"/>
      <c r="G51" s="1894">
        <v>135</v>
      </c>
      <c r="H51" s="1895"/>
      <c r="I51" s="1812">
        <f>+G51*(1+'Løntabel gældende fra'!$D$7/100)</f>
        <v>146.462985</v>
      </c>
      <c r="J51" s="1811"/>
      <c r="K51" s="229"/>
      <c r="L51" s="229"/>
      <c r="M51" s="229"/>
    </row>
    <row r="52" spans="1:14" s="242" customFormat="1" ht="16" customHeight="1" thickBot="1">
      <c r="A52" s="1887" t="s">
        <v>518</v>
      </c>
      <c r="B52" s="1888"/>
      <c r="C52" s="1888"/>
      <c r="D52" s="1888"/>
      <c r="E52" s="1888"/>
      <c r="F52" s="1889"/>
      <c r="G52" s="1812">
        <v>185</v>
      </c>
      <c r="H52" s="1811"/>
      <c r="I52" s="1812">
        <f>+G52*(1+'Løntabel gældende fra'!$D$7/100)</f>
        <v>200.70853499999998</v>
      </c>
      <c r="J52" s="1811"/>
      <c r="K52" s="229"/>
      <c r="L52" s="229"/>
      <c r="M52" s="229"/>
    </row>
    <row r="53" spans="1:14" s="242" customFormat="1" ht="20" customHeight="1" thickBot="1">
      <c r="A53" s="976"/>
      <c r="B53" s="900"/>
      <c r="C53" s="900"/>
      <c r="D53" s="900"/>
      <c r="E53" s="900"/>
      <c r="F53" s="900"/>
      <c r="G53" s="976"/>
      <c r="H53" s="61"/>
      <c r="I53" s="61"/>
      <c r="J53" s="61"/>
      <c r="K53" s="61"/>
      <c r="L53" s="229"/>
      <c r="M53" s="229"/>
      <c r="N53" s="229"/>
    </row>
    <row r="54" spans="1:14" s="242" customFormat="1" ht="20" customHeight="1">
      <c r="A54" s="1139" t="s">
        <v>234</v>
      </c>
      <c r="B54" s="1276"/>
      <c r="C54" s="1276"/>
      <c r="D54" s="1276"/>
      <c r="E54" s="1276"/>
      <c r="F54" s="1276"/>
      <c r="G54" s="1276"/>
      <c r="H54" s="1276"/>
      <c r="I54" s="1276"/>
      <c r="J54" s="1277"/>
    </row>
    <row r="55" spans="1:14" s="242" customFormat="1" ht="21" customHeight="1" thickBot="1">
      <c r="A55" s="1881" t="s">
        <v>428</v>
      </c>
      <c r="B55" s="1882"/>
      <c r="C55" s="1882"/>
      <c r="D55" s="1882"/>
      <c r="E55" s="1882"/>
      <c r="F55" s="1882"/>
      <c r="G55" s="1882"/>
      <c r="H55" s="1882"/>
      <c r="I55" s="1882"/>
      <c r="J55" s="1883"/>
    </row>
    <row r="56" spans="1:14" ht="16">
      <c r="A56" s="971"/>
      <c r="B56" s="972"/>
      <c r="C56" s="972"/>
      <c r="D56" s="972"/>
      <c r="E56" s="972"/>
      <c r="F56" s="975"/>
      <c r="G56" s="1890" t="s">
        <v>522</v>
      </c>
      <c r="H56" s="1891"/>
      <c r="I56" s="1890" t="s">
        <v>520</v>
      </c>
      <c r="J56" s="1891"/>
    </row>
    <row r="57" spans="1:14" ht="17" thickBot="1">
      <c r="A57" s="973"/>
      <c r="B57" s="974"/>
      <c r="C57" s="974"/>
      <c r="D57" s="974"/>
      <c r="E57" s="974"/>
      <c r="F57" s="899"/>
      <c r="G57" s="1892">
        <v>40999</v>
      </c>
      <c r="H57" s="1893"/>
      <c r="I57" s="1892" t="str">
        <f>'Løntabel gældende fra'!$D$1</f>
        <v>01/04/2019</v>
      </c>
      <c r="J57" s="1893"/>
    </row>
    <row r="58" spans="1:14" ht="16" customHeight="1" thickBot="1">
      <c r="A58" s="983" t="s">
        <v>519</v>
      </c>
      <c r="B58" s="984"/>
      <c r="C58" s="984"/>
      <c r="D58" s="984"/>
      <c r="E58" s="984"/>
      <c r="F58" s="985"/>
      <c r="G58" s="1894">
        <v>300</v>
      </c>
      <c r="H58" s="1895"/>
      <c r="I58" s="1812">
        <f>+G58*(1+'Løntabel gældende fra'!$D$7/100)</f>
        <v>325.47329999999999</v>
      </c>
      <c r="J58" s="1811"/>
    </row>
    <row r="59" spans="1:14" ht="20" customHeight="1" thickBot="1">
      <c r="A59" s="1861"/>
      <c r="B59" s="1861"/>
      <c r="C59" s="1861"/>
      <c r="D59" s="1861"/>
      <c r="E59" s="1861"/>
      <c r="F59" s="1861"/>
      <c r="G59" s="1861"/>
      <c r="H59" s="1861"/>
      <c r="I59" s="532"/>
      <c r="J59" s="10"/>
      <c r="K59" s="10"/>
    </row>
    <row r="60" spans="1:14" ht="20" customHeight="1" thickBot="1">
      <c r="A60" s="1172" t="s">
        <v>521</v>
      </c>
      <c r="B60" s="1173"/>
      <c r="C60" s="1173"/>
      <c r="D60" s="1173"/>
      <c r="E60" s="1173"/>
      <c r="F60" s="1173"/>
      <c r="G60" s="1173"/>
      <c r="H60" s="1229"/>
      <c r="I60" s="532"/>
      <c r="J60" s="10"/>
      <c r="K60" s="10"/>
    </row>
    <row r="61" spans="1:14" ht="20" customHeight="1" thickBot="1">
      <c r="A61" s="995"/>
      <c r="B61" s="996"/>
      <c r="C61" s="1868" t="s">
        <v>525</v>
      </c>
      <c r="D61" s="1706"/>
      <c r="E61" s="1722"/>
      <c r="F61" s="1868" t="s">
        <v>524</v>
      </c>
      <c r="G61" s="1706"/>
      <c r="H61" s="1722"/>
      <c r="I61" s="532"/>
      <c r="J61" s="10"/>
      <c r="K61" s="10"/>
    </row>
    <row r="62" spans="1:14" ht="20" customHeight="1">
      <c r="A62" s="977"/>
      <c r="B62" s="978"/>
      <c r="C62" s="1866" t="s">
        <v>133</v>
      </c>
      <c r="D62" s="1866" t="s">
        <v>133</v>
      </c>
      <c r="E62" s="1866" t="s">
        <v>295</v>
      </c>
      <c r="F62" s="1866" t="s">
        <v>133</v>
      </c>
      <c r="G62" s="1866" t="s">
        <v>133</v>
      </c>
      <c r="H62" s="1866" t="s">
        <v>295</v>
      </c>
      <c r="I62" s="981"/>
      <c r="J62" s="982"/>
      <c r="K62" s="982"/>
    </row>
    <row r="63" spans="1:14" ht="20" customHeight="1">
      <c r="A63" s="977"/>
      <c r="B63" s="978"/>
      <c r="C63" s="1867"/>
      <c r="D63" s="1867"/>
      <c r="E63" s="1867"/>
      <c r="F63" s="1867"/>
      <c r="G63" s="1867"/>
      <c r="H63" s="1867"/>
      <c r="I63" s="981"/>
      <c r="J63" s="982"/>
      <c r="K63" s="982"/>
    </row>
    <row r="64" spans="1:14" ht="20" customHeight="1" thickBot="1">
      <c r="A64" s="986"/>
      <c r="B64" s="997"/>
      <c r="C64" s="987">
        <f>G57</f>
        <v>40999</v>
      </c>
      <c r="D64" s="987" t="str">
        <f>I57</f>
        <v>01/04/2019</v>
      </c>
      <c r="E64" s="987" t="str">
        <f>I57</f>
        <v>01/04/2019</v>
      </c>
      <c r="F64" s="987">
        <f>C64</f>
        <v>40999</v>
      </c>
      <c r="G64" s="987" t="str">
        <f t="shared" ref="G64:H64" si="12">D64</f>
        <v>01/04/2019</v>
      </c>
      <c r="H64" s="987" t="str">
        <f t="shared" si="12"/>
        <v>01/04/2019</v>
      </c>
      <c r="I64" s="981"/>
      <c r="J64" s="982"/>
      <c r="K64" s="982"/>
    </row>
    <row r="65" spans="1:11" ht="16" customHeight="1" thickBot="1">
      <c r="A65" s="1859" t="s">
        <v>526</v>
      </c>
      <c r="B65" s="1860"/>
      <c r="C65" s="1001"/>
      <c r="D65" s="1001"/>
      <c r="E65" s="1001"/>
      <c r="F65" s="1001"/>
      <c r="G65" s="1001"/>
      <c r="H65" s="1001"/>
      <c r="I65" s="981"/>
      <c r="J65" s="982"/>
      <c r="K65" s="982"/>
    </row>
    <row r="66" spans="1:11" ht="16" customHeight="1">
      <c r="A66" s="1869" t="s">
        <v>420</v>
      </c>
      <c r="B66" s="1870"/>
      <c r="C66" s="991">
        <v>103542</v>
      </c>
      <c r="D66" s="992">
        <f>C66+(C66*'Løntabel gældende fra'!$D$7%)</f>
        <v>112333.854762</v>
      </c>
      <c r="E66" s="992">
        <f>D66/12</f>
        <v>9361.1545635000002</v>
      </c>
      <c r="F66" s="992">
        <v>106163</v>
      </c>
      <c r="G66" s="992">
        <f>F66+(F66*'Løntabel gældende fra'!$D$7%)</f>
        <v>115177.406493</v>
      </c>
      <c r="H66" s="991">
        <f>G66/12</f>
        <v>9598.1172077499996</v>
      </c>
      <c r="I66" s="532"/>
      <c r="J66" s="10"/>
      <c r="K66" s="10"/>
    </row>
    <row r="67" spans="1:11" ht="16" customHeight="1">
      <c r="A67" s="1862" t="s">
        <v>419</v>
      </c>
      <c r="B67" s="1863"/>
      <c r="C67" s="993">
        <v>110751</v>
      </c>
      <c r="D67" s="993">
        <f>C67+(C67*'Løntabel gældende fra'!$D$7%)</f>
        <v>120154.97816100001</v>
      </c>
      <c r="E67" s="993">
        <f t="shared" ref="E67:E76" si="13">D67/12</f>
        <v>10012.91484675</v>
      </c>
      <c r="F67" s="993">
        <v>114027</v>
      </c>
      <c r="G67" s="992">
        <f>F67+(F67*'Løntabel gældende fra'!$D$7%)</f>
        <v>123709.146597</v>
      </c>
      <c r="H67" s="991">
        <f t="shared" ref="H67:H69" si="14">G67/12</f>
        <v>10309.09554975</v>
      </c>
      <c r="I67" s="532"/>
      <c r="J67" s="10"/>
      <c r="K67" s="10"/>
    </row>
    <row r="68" spans="1:11" ht="16" customHeight="1">
      <c r="A68" s="1862" t="s">
        <v>418</v>
      </c>
      <c r="B68" s="1863"/>
      <c r="C68" s="993">
        <v>117959</v>
      </c>
      <c r="D68" s="993">
        <f>C68+(C68*'Løntabel gældende fra'!$D$7%)</f>
        <v>127975.016649</v>
      </c>
      <c r="E68" s="993">
        <f t="shared" si="13"/>
        <v>10664.584720749999</v>
      </c>
      <c r="F68" s="993">
        <v>121236</v>
      </c>
      <c r="G68" s="992">
        <f>F68+(F68*'Løntabel gældende fra'!$D$7%)</f>
        <v>131530.26999599999</v>
      </c>
      <c r="H68" s="991">
        <f t="shared" si="14"/>
        <v>10960.855833</v>
      </c>
      <c r="I68" s="532"/>
      <c r="J68" s="10"/>
      <c r="K68" s="10"/>
    </row>
    <row r="69" spans="1:11" ht="16" customHeight="1" thickBot="1">
      <c r="A69" s="1864" t="s">
        <v>417</v>
      </c>
      <c r="B69" s="1865"/>
      <c r="C69" s="994">
        <v>126479</v>
      </c>
      <c r="D69" s="994">
        <f>C69+(C69*'Løntabel gældende fra'!$D$7%)</f>
        <v>137218.458369</v>
      </c>
      <c r="E69" s="994">
        <f t="shared" si="13"/>
        <v>11434.871530750001</v>
      </c>
      <c r="F69" s="994">
        <v>130411</v>
      </c>
      <c r="G69" s="989">
        <f>F69+(F69*'Løntabel gældende fra'!$D$7%)</f>
        <v>141484.32842100001</v>
      </c>
      <c r="H69" s="991">
        <f t="shared" si="14"/>
        <v>11790.360701750002</v>
      </c>
      <c r="I69" s="532"/>
      <c r="J69" s="10"/>
      <c r="K69" s="10"/>
    </row>
    <row r="70" spans="1:11" ht="16" customHeight="1" thickBot="1">
      <c r="A70" s="1859" t="s">
        <v>523</v>
      </c>
      <c r="B70" s="1860"/>
      <c r="C70" s="998"/>
      <c r="D70" s="998"/>
      <c r="E70" s="998"/>
      <c r="F70" s="999"/>
      <c r="G70" s="998"/>
      <c r="H70" s="1000"/>
      <c r="I70" s="532"/>
      <c r="J70" s="10"/>
      <c r="K70" s="10"/>
    </row>
    <row r="71" spans="1:11" ht="16" customHeight="1">
      <c r="A71" s="1869" t="s">
        <v>420</v>
      </c>
      <c r="B71" s="1870"/>
      <c r="C71" s="991">
        <v>130411</v>
      </c>
      <c r="D71" s="992">
        <f>C71+(C71*'Løntabel gældende fra'!$D$7%)</f>
        <v>141484.32842100001</v>
      </c>
      <c r="E71" s="992">
        <f t="shared" si="13"/>
        <v>11790.360701750002</v>
      </c>
      <c r="F71" s="992">
        <v>133687</v>
      </c>
      <c r="G71" s="992">
        <f>F71+(F71*'Løntabel gældende fra'!$D$7%)</f>
        <v>145038.49685699999</v>
      </c>
      <c r="H71" s="991">
        <f>G71/12</f>
        <v>12086.54140475</v>
      </c>
      <c r="I71" s="532"/>
      <c r="J71" s="10"/>
      <c r="K71" s="10"/>
    </row>
    <row r="72" spans="1:11" ht="16" customHeight="1">
      <c r="A72" s="1862" t="s">
        <v>419</v>
      </c>
      <c r="B72" s="1863"/>
      <c r="C72" s="993">
        <v>137619</v>
      </c>
      <c r="D72" s="993">
        <f>C72+(C72*'Løntabel gældende fra'!$D$7%)</f>
        <v>149304.366909</v>
      </c>
      <c r="E72" s="993">
        <f t="shared" si="13"/>
        <v>12442.030575750001</v>
      </c>
      <c r="F72" s="993">
        <v>140896</v>
      </c>
      <c r="G72" s="992">
        <f>F72+(F72*'Løntabel gældende fra'!$D$7%)</f>
        <v>152859.62025599999</v>
      </c>
      <c r="H72" s="991">
        <f t="shared" ref="H72:H74" si="15">G72/12</f>
        <v>12738.301688</v>
      </c>
      <c r="I72" s="532"/>
      <c r="J72" s="10"/>
      <c r="K72" s="10"/>
    </row>
    <row r="73" spans="1:11" ht="16" customHeight="1">
      <c r="A73" s="1862" t="s">
        <v>418</v>
      </c>
      <c r="B73" s="1863"/>
      <c r="C73" s="993">
        <v>147777</v>
      </c>
      <c r="D73" s="993">
        <f>C73+(C73*'Løntabel gældende fra'!$D$7%)</f>
        <v>160324.89284700001</v>
      </c>
      <c r="E73" s="993">
        <f t="shared" si="13"/>
        <v>13360.407737250001</v>
      </c>
      <c r="F73" s="993">
        <v>152037</v>
      </c>
      <c r="G73" s="992">
        <f>F73+(F73*'Løntabel gældende fra'!$D$7%)</f>
        <v>164946.61370700001</v>
      </c>
      <c r="H73" s="991">
        <f t="shared" si="15"/>
        <v>13745.55114225</v>
      </c>
      <c r="I73" s="532"/>
      <c r="J73" s="10"/>
      <c r="K73" s="10"/>
    </row>
    <row r="74" spans="1:11" s="438" customFormat="1" ht="16" customHeight="1" thickBot="1">
      <c r="A74" s="1864" t="s">
        <v>417</v>
      </c>
      <c r="B74" s="1865"/>
      <c r="C74" s="994">
        <v>155641</v>
      </c>
      <c r="D74" s="994">
        <f>C74+(C74*'Løntabel gældende fra'!$D$7%)</f>
        <v>168856.63295100001</v>
      </c>
      <c r="E74" s="994">
        <f t="shared" si="13"/>
        <v>14071.38607925</v>
      </c>
      <c r="F74" s="994">
        <v>160556</v>
      </c>
      <c r="G74" s="989">
        <f>F74+(F74*'Løntabel gældende fra'!$D$7%)</f>
        <v>174188.970516</v>
      </c>
      <c r="H74" s="988">
        <f t="shared" si="15"/>
        <v>14515.747542999999</v>
      </c>
      <c r="I74" s="532"/>
      <c r="J74" s="61"/>
      <c r="K74" s="61"/>
    </row>
    <row r="75" spans="1:11" ht="16" customHeight="1" thickBot="1">
      <c r="A75" s="1002" t="s">
        <v>528</v>
      </c>
      <c r="B75" s="1002"/>
      <c r="C75" s="998"/>
      <c r="D75" s="998"/>
      <c r="E75" s="998"/>
      <c r="F75" s="999"/>
      <c r="G75" s="998"/>
      <c r="H75" s="1000"/>
      <c r="I75" s="532"/>
      <c r="J75" s="10"/>
      <c r="K75" s="10"/>
    </row>
    <row r="76" spans="1:11" ht="16" customHeight="1" thickBot="1">
      <c r="A76" s="1871" t="s">
        <v>529</v>
      </c>
      <c r="B76" s="1872"/>
      <c r="C76" s="990">
        <v>220533</v>
      </c>
      <c r="D76" s="990">
        <f>C76+(C76*'Løntabel gældende fra'!$D$7%)</f>
        <v>239258.677563</v>
      </c>
      <c r="E76" s="990">
        <f t="shared" si="13"/>
        <v>19938.22313025</v>
      </c>
      <c r="F76" s="990">
        <v>222812</v>
      </c>
      <c r="G76" s="990">
        <f>F76+(F76*'Løntabel gældende fra'!$D$7%)</f>
        <v>241731.189732</v>
      </c>
      <c r="H76" s="1003">
        <f>G76/12</f>
        <v>20144.265811000001</v>
      </c>
      <c r="I76" s="532"/>
      <c r="J76" s="10"/>
      <c r="K76" s="10"/>
    </row>
    <row r="77" spans="1:11">
      <c r="A77" s="245"/>
      <c r="B77" s="245"/>
      <c r="C77" s="245"/>
      <c r="D77" s="246"/>
      <c r="E77" s="243"/>
      <c r="F77" s="242"/>
      <c r="G77" s="244"/>
      <c r="H77" s="244"/>
    </row>
    <row r="78" spans="1:11">
      <c r="A78" s="242"/>
      <c r="B78" s="242"/>
      <c r="C78" s="242"/>
      <c r="D78" s="247"/>
      <c r="E78" s="243"/>
      <c r="F78" s="242"/>
      <c r="G78" s="244"/>
      <c r="H78" s="244"/>
    </row>
    <row r="79" spans="1:11">
      <c r="A79" s="242"/>
      <c r="B79" s="242"/>
      <c r="C79" s="242"/>
      <c r="D79" s="247"/>
      <c r="E79" s="243"/>
      <c r="F79" s="242"/>
      <c r="G79" s="244"/>
      <c r="H79" s="244"/>
    </row>
    <row r="80" spans="1:11">
      <c r="A80" s="242"/>
      <c r="B80" s="242"/>
      <c r="C80" s="242"/>
      <c r="D80" s="247"/>
      <c r="E80" s="243"/>
      <c r="F80" s="242"/>
      <c r="G80" s="244"/>
      <c r="H80" s="244"/>
    </row>
    <row r="81" spans="1:8">
      <c r="A81" s="242"/>
      <c r="B81" s="242"/>
      <c r="C81" s="242"/>
      <c r="D81" s="248"/>
      <c r="E81" s="243"/>
      <c r="F81" s="242"/>
      <c r="G81" s="244"/>
      <c r="H81" s="244"/>
    </row>
    <row r="82" spans="1:8">
      <c r="A82" s="242"/>
      <c r="B82" s="242"/>
      <c r="C82" s="242"/>
      <c r="D82" s="242"/>
      <c r="E82" s="243"/>
      <c r="F82" s="242"/>
      <c r="G82" s="244"/>
      <c r="H82" s="244"/>
    </row>
  </sheetData>
  <sheetProtection sheet="1" objects="1" scenarios="1"/>
  <mergeCells count="62">
    <mergeCell ref="A7:J7"/>
    <mergeCell ref="G8:J8"/>
    <mergeCell ref="A8:F8"/>
    <mergeCell ref="A5:H5"/>
    <mergeCell ref="A1:J1"/>
    <mergeCell ref="A2:J2"/>
    <mergeCell ref="A3:J3"/>
    <mergeCell ref="A4:J4"/>
    <mergeCell ref="A6:J6"/>
    <mergeCell ref="G49:H49"/>
    <mergeCell ref="G50:H50"/>
    <mergeCell ref="G51:H51"/>
    <mergeCell ref="G52:H52"/>
    <mergeCell ref="I51:J51"/>
    <mergeCell ref="I49:J49"/>
    <mergeCell ref="I50:J50"/>
    <mergeCell ref="A51:F51"/>
    <mergeCell ref="A52:F52"/>
    <mergeCell ref="A54:J54"/>
    <mergeCell ref="A55:J55"/>
    <mergeCell ref="D62:D63"/>
    <mergeCell ref="E62:E63"/>
    <mergeCell ref="F62:F63"/>
    <mergeCell ref="G62:G63"/>
    <mergeCell ref="G56:H56"/>
    <mergeCell ref="I56:J56"/>
    <mergeCell ref="G57:H57"/>
    <mergeCell ref="I57:J57"/>
    <mergeCell ref="G58:H58"/>
    <mergeCell ref="I58:J58"/>
    <mergeCell ref="I52:J52"/>
    <mergeCell ref="A37:J37"/>
    <mergeCell ref="A38:J38"/>
    <mergeCell ref="A39:F39"/>
    <mergeCell ref="A47:J47"/>
    <mergeCell ref="A48:J48"/>
    <mergeCell ref="G39:J39"/>
    <mergeCell ref="A28:J28"/>
    <mergeCell ref="A29:J29"/>
    <mergeCell ref="A30:F30"/>
    <mergeCell ref="A17:J17"/>
    <mergeCell ref="A18:J18"/>
    <mergeCell ref="A19:F19"/>
    <mergeCell ref="G30:J30"/>
    <mergeCell ref="G19:J19"/>
    <mergeCell ref="A76:B76"/>
    <mergeCell ref="A67:B67"/>
    <mergeCell ref="A68:B68"/>
    <mergeCell ref="A69:B69"/>
    <mergeCell ref="A70:B70"/>
    <mergeCell ref="A71:B71"/>
    <mergeCell ref="A65:B65"/>
    <mergeCell ref="A59:H59"/>
    <mergeCell ref="A72:B72"/>
    <mergeCell ref="A73:B73"/>
    <mergeCell ref="A74:B74"/>
    <mergeCell ref="H62:H63"/>
    <mergeCell ref="C61:E61"/>
    <mergeCell ref="F61:H61"/>
    <mergeCell ref="A60:H60"/>
    <mergeCell ref="A66:B66"/>
    <mergeCell ref="C62:C63"/>
  </mergeCells>
  <phoneticPr fontId="6" type="noConversion"/>
  <pageMargins left="0.7" right="0.7" top="0.75" bottom="0.75" header="0.3" footer="0.3"/>
  <pageSetup paperSize="9" scale="56" orientation="portrait" horizontalDpi="300" verticalDpi="300" r:id="rId1"/>
  <headerFooter>
    <oddFooter>&amp;C&amp;"Calibri,Normal"&amp;8&amp;K000000Løntabel Lilleskolerne og HK Privat&amp;R&amp;"Calibri,Normal"&amp;8&amp;K000000&amp;P af i alt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618D5-A809-824D-ABEB-11C0F4EC6AC6}">
  <sheetPr>
    <pageSetUpPr fitToPage="1"/>
  </sheetPr>
  <dimension ref="A1:M167"/>
  <sheetViews>
    <sheetView zoomScale="125" zoomScaleNormal="125" zoomScalePageLayoutView="125" workbookViewId="0">
      <selection activeCell="I46" sqref="I46"/>
    </sheetView>
  </sheetViews>
  <sheetFormatPr baseColWidth="10" defaultColWidth="8.83203125" defaultRowHeight="13"/>
  <cols>
    <col min="1" max="1" width="22.33203125" style="332" customWidth="1"/>
    <col min="2" max="2" width="10.6640625" style="332" customWidth="1"/>
    <col min="3" max="3" width="11" style="332" customWidth="1"/>
    <col min="4" max="4" width="10.33203125" style="332" customWidth="1"/>
    <col min="5" max="5" width="11.33203125" style="332" customWidth="1"/>
    <col min="6" max="6" width="10.6640625" style="332" customWidth="1"/>
    <col min="7" max="7" width="10.33203125" style="332" customWidth="1"/>
    <col min="8" max="8" width="11.1640625" style="332" customWidth="1"/>
    <col min="9" max="9" width="11" style="332" customWidth="1"/>
    <col min="10" max="10" width="10.83203125" style="332" customWidth="1"/>
    <col min="11" max="16384" width="8.83203125" style="332"/>
  </cols>
  <sheetData>
    <row r="1" spans="1:13" ht="20.25" customHeight="1">
      <c r="A1" s="1901" t="s">
        <v>19</v>
      </c>
      <c r="B1" s="1902"/>
      <c r="C1" s="1902"/>
      <c r="D1" s="1902"/>
      <c r="E1" s="1902"/>
      <c r="F1" s="1902"/>
      <c r="G1" s="1902"/>
      <c r="H1" s="1902"/>
      <c r="I1" s="1902"/>
      <c r="J1" s="1903"/>
    </row>
    <row r="2" spans="1:13" ht="20" customHeight="1">
      <c r="A2" s="1904" t="s">
        <v>230</v>
      </c>
      <c r="B2" s="1905"/>
      <c r="C2" s="1905"/>
      <c r="D2" s="1905"/>
      <c r="E2" s="1905"/>
      <c r="F2" s="1905"/>
      <c r="G2" s="1905"/>
      <c r="H2" s="1905"/>
      <c r="I2" s="1905"/>
      <c r="J2" s="1906"/>
    </row>
    <row r="3" spans="1:13" ht="19.5" customHeight="1">
      <c r="A3" s="1907" t="s">
        <v>510</v>
      </c>
      <c r="B3" s="1908"/>
      <c r="C3" s="1908"/>
      <c r="D3" s="1908"/>
      <c r="E3" s="1908"/>
      <c r="F3" s="1908"/>
      <c r="G3" s="1908"/>
      <c r="H3" s="1908"/>
      <c r="I3" s="1908"/>
      <c r="J3" s="1909"/>
    </row>
    <row r="4" spans="1:13" ht="23" customHeight="1" thickBot="1">
      <c r="A4" s="1841" t="s">
        <v>245</v>
      </c>
      <c r="B4" s="1842"/>
      <c r="C4" s="1842"/>
      <c r="D4" s="1842"/>
      <c r="E4" s="1842"/>
      <c r="F4" s="1842"/>
      <c r="G4" s="1842"/>
      <c r="H4" s="1842"/>
      <c r="I4" s="1842"/>
      <c r="J4" s="1843"/>
    </row>
    <row r="5" spans="1:13" ht="15" thickBot="1">
      <c r="A5" s="249"/>
      <c r="B5" s="249"/>
      <c r="C5" s="249"/>
      <c r="D5" s="249"/>
      <c r="E5" s="1007"/>
      <c r="F5" s="1007"/>
      <c r="G5" s="1007"/>
      <c r="H5" s="1007"/>
    </row>
    <row r="6" spans="1:13" s="259" customFormat="1" ht="19" thickBot="1">
      <c r="A6" s="1781" t="s">
        <v>15</v>
      </c>
      <c r="B6" s="1782"/>
      <c r="C6" s="1782"/>
      <c r="D6" s="1783"/>
      <c r="E6" s="1910"/>
      <c r="F6" s="1910"/>
      <c r="G6" s="1910"/>
      <c r="H6" s="1910"/>
    </row>
    <row r="7" spans="1:13" s="259" customFormat="1" ht="15" thickBot="1">
      <c r="A7" s="1008" t="s">
        <v>227</v>
      </c>
      <c r="B7" s="632">
        <v>43191</v>
      </c>
      <c r="C7" s="632">
        <v>43374</v>
      </c>
      <c r="D7" s="632">
        <v>43556</v>
      </c>
      <c r="E7" s="268"/>
      <c r="F7" s="268"/>
      <c r="G7" s="268"/>
      <c r="H7" s="1009"/>
    </row>
    <row r="8" spans="1:13" s="259" customFormat="1" ht="14" customHeight="1">
      <c r="A8" s="1010" t="s">
        <v>205</v>
      </c>
      <c r="B8" s="520">
        <v>25032.49</v>
      </c>
      <c r="C8" s="520">
        <v>25290.32</v>
      </c>
      <c r="D8" s="520">
        <v>25750.6</v>
      </c>
      <c r="E8" s="1011"/>
      <c r="F8" s="1012"/>
      <c r="G8" s="1013"/>
      <c r="H8" s="1013"/>
      <c r="I8" s="262"/>
      <c r="J8" s="260"/>
    </row>
    <row r="9" spans="1:13" s="259" customFormat="1" ht="13.5" customHeight="1">
      <c r="A9" s="1010" t="s">
        <v>228</v>
      </c>
      <c r="B9" s="520">
        <v>22138.06</v>
      </c>
      <c r="C9" s="520">
        <v>22366.080000000002</v>
      </c>
      <c r="D9" s="520">
        <v>22773.15</v>
      </c>
      <c r="E9" s="1011"/>
      <c r="F9" s="1012"/>
      <c r="G9" s="1013"/>
      <c r="H9" s="1013"/>
      <c r="I9" s="262"/>
      <c r="J9" s="260"/>
    </row>
    <row r="10" spans="1:13" s="259" customFormat="1" ht="15" customHeight="1" thickBot="1">
      <c r="A10" s="1014" t="s">
        <v>206</v>
      </c>
      <c r="B10" s="521">
        <v>21587.23</v>
      </c>
      <c r="C10" s="521">
        <v>21809.58</v>
      </c>
      <c r="D10" s="521">
        <v>22206.51</v>
      </c>
      <c r="E10" s="1011"/>
      <c r="F10" s="1012"/>
      <c r="G10" s="1013"/>
      <c r="H10" s="1013"/>
      <c r="I10" s="262"/>
      <c r="J10" s="260"/>
      <c r="M10" s="261"/>
    </row>
    <row r="11" spans="1:13" s="259" customFormat="1" ht="15" thickBot="1">
      <c r="B11" s="260"/>
      <c r="C11" s="260"/>
      <c r="D11" s="260"/>
      <c r="E11" s="286"/>
      <c r="F11" s="286"/>
      <c r="G11" s="286"/>
      <c r="H11" s="286"/>
    </row>
    <row r="12" spans="1:13" s="259" customFormat="1" ht="19" thickBot="1">
      <c r="A12" s="1781" t="s">
        <v>176</v>
      </c>
      <c r="B12" s="1782"/>
      <c r="C12" s="1782"/>
      <c r="D12" s="1783"/>
    </row>
    <row r="13" spans="1:13" s="259" customFormat="1" ht="15" customHeight="1" thickBot="1">
      <c r="A13" s="1911" t="s">
        <v>177</v>
      </c>
      <c r="B13" s="1912"/>
      <c r="C13" s="1912"/>
      <c r="D13" s="1913"/>
    </row>
    <row r="14" spans="1:13" s="259" customFormat="1" ht="16" customHeight="1" thickBot="1">
      <c r="A14" s="1015" t="s">
        <v>198</v>
      </c>
      <c r="B14" s="340">
        <v>43191</v>
      </c>
      <c r="C14" s="339">
        <v>43374</v>
      </c>
      <c r="D14" s="341">
        <v>43556</v>
      </c>
    </row>
    <row r="15" spans="1:13" s="259" customFormat="1" ht="16" customHeight="1" thickBot="1">
      <c r="A15" s="1016" t="s">
        <v>199</v>
      </c>
      <c r="B15" s="1017">
        <v>120.94</v>
      </c>
      <c r="C15" s="1018">
        <v>122.19</v>
      </c>
      <c r="D15" s="1019">
        <v>124.41</v>
      </c>
      <c r="F15" s="260"/>
      <c r="G15" s="260"/>
      <c r="H15" s="260"/>
      <c r="I15" s="260"/>
      <c r="J15" s="260"/>
    </row>
    <row r="16" spans="1:13" s="259" customFormat="1" ht="16" customHeight="1" thickBot="1">
      <c r="A16" s="268"/>
      <c r="B16" s="1020"/>
      <c r="C16" s="1020"/>
      <c r="D16" s="1020"/>
      <c r="F16" s="260"/>
      <c r="G16" s="260"/>
      <c r="H16" s="260"/>
      <c r="I16" s="260"/>
      <c r="J16" s="260"/>
    </row>
    <row r="17" spans="1:10" s="259" customFormat="1" ht="16" customHeight="1" thickBot="1">
      <c r="A17" s="1781" t="s">
        <v>203</v>
      </c>
      <c r="B17" s="1782"/>
      <c r="C17" s="1782"/>
      <c r="D17" s="1782"/>
      <c r="E17" s="1783"/>
      <c r="F17" s="260"/>
      <c r="G17" s="260"/>
      <c r="H17" s="260"/>
      <c r="I17" s="260"/>
      <c r="J17" s="260"/>
    </row>
    <row r="18" spans="1:10" s="259" customFormat="1" ht="16" customHeight="1" thickBot="1">
      <c r="A18" s="342" t="s">
        <v>204</v>
      </c>
      <c r="B18" s="343"/>
      <c r="C18" s="344">
        <v>43191</v>
      </c>
      <c r="D18" s="345">
        <v>43374</v>
      </c>
      <c r="E18" s="346">
        <v>43556</v>
      </c>
      <c r="F18" s="260"/>
      <c r="G18" s="260"/>
      <c r="H18" s="260"/>
      <c r="I18" s="260"/>
      <c r="J18" s="260"/>
    </row>
    <row r="19" spans="1:10" s="259" customFormat="1" ht="16" customHeight="1">
      <c r="A19" s="347" t="s">
        <v>200</v>
      </c>
      <c r="B19" s="348"/>
      <c r="C19" s="512">
        <v>65.040000000000006</v>
      </c>
      <c r="D19" s="513">
        <v>65.709999999999994</v>
      </c>
      <c r="E19" s="514">
        <v>66.91</v>
      </c>
      <c r="F19" s="260"/>
      <c r="G19" s="260"/>
      <c r="H19" s="260"/>
      <c r="I19" s="260"/>
      <c r="J19" s="260"/>
    </row>
    <row r="20" spans="1:10" s="259" customFormat="1" ht="16" customHeight="1">
      <c r="A20" s="349" t="s">
        <v>201</v>
      </c>
      <c r="B20" s="348"/>
      <c r="C20" s="515">
        <v>73.94</v>
      </c>
      <c r="D20" s="295">
        <v>74.7</v>
      </c>
      <c r="E20" s="516">
        <v>76.06</v>
      </c>
      <c r="F20" s="260"/>
      <c r="G20" s="260"/>
      <c r="H20" s="260"/>
      <c r="I20" s="260"/>
      <c r="J20" s="260"/>
    </row>
    <row r="21" spans="1:10" s="259" customFormat="1" ht="16" customHeight="1" thickBot="1">
      <c r="A21" s="350" t="s">
        <v>202</v>
      </c>
      <c r="B21" s="351"/>
      <c r="C21" s="517">
        <v>84.61</v>
      </c>
      <c r="D21" s="518">
        <v>85.84</v>
      </c>
      <c r="E21" s="519">
        <v>87.04</v>
      </c>
      <c r="F21" s="260"/>
      <c r="G21" s="260"/>
      <c r="H21" s="260"/>
      <c r="I21" s="260"/>
      <c r="J21" s="260"/>
    </row>
    <row r="22" spans="1:10" s="259" customFormat="1" ht="15" thickBot="1">
      <c r="A22" s="268"/>
      <c r="B22" s="267"/>
      <c r="C22" s="267"/>
      <c r="D22" s="267"/>
      <c r="E22" s="376"/>
      <c r="F22" s="376"/>
      <c r="G22" s="286"/>
    </row>
    <row r="23" spans="1:10" s="259" customFormat="1" ht="19" thickBot="1">
      <c r="A23" s="1914" t="s">
        <v>178</v>
      </c>
      <c r="B23" s="1915"/>
      <c r="C23" s="1915"/>
      <c r="D23" s="1915"/>
      <c r="E23" s="1915"/>
      <c r="F23" s="1916"/>
      <c r="G23" s="1021"/>
    </row>
    <row r="24" spans="1:10" s="259" customFormat="1" ht="15" thickBot="1">
      <c r="A24" s="1917"/>
      <c r="B24" s="1918"/>
      <c r="C24" s="1918"/>
      <c r="D24" s="633">
        <v>43191</v>
      </c>
      <c r="E24" s="634">
        <v>43374</v>
      </c>
      <c r="F24" s="635">
        <v>43556</v>
      </c>
      <c r="G24" s="1022"/>
    </row>
    <row r="25" spans="1:10" s="259" customFormat="1" ht="14" customHeight="1">
      <c r="A25" s="1899" t="s">
        <v>209</v>
      </c>
      <c r="B25" s="1900"/>
      <c r="C25" s="377" t="s">
        <v>171</v>
      </c>
      <c r="D25" s="503">
        <v>32.520000000000003</v>
      </c>
      <c r="E25" s="504">
        <v>32.86</v>
      </c>
      <c r="F25" s="505">
        <v>33.450000000000003</v>
      </c>
      <c r="G25" s="1023"/>
    </row>
    <row r="26" spans="1:10" s="259" customFormat="1" ht="14">
      <c r="A26" s="1919" t="s">
        <v>210</v>
      </c>
      <c r="B26" s="1920"/>
      <c r="C26" s="903" t="s">
        <v>171</v>
      </c>
      <c r="D26" s="506">
        <v>48.78</v>
      </c>
      <c r="E26" s="507">
        <v>49.28</v>
      </c>
      <c r="F26" s="508">
        <v>50.18</v>
      </c>
      <c r="G26" s="1023"/>
    </row>
    <row r="27" spans="1:10" s="259" customFormat="1" ht="23" customHeight="1">
      <c r="A27" s="1921" t="s">
        <v>207</v>
      </c>
      <c r="B27" s="1922"/>
      <c r="C27" s="903" t="s">
        <v>171</v>
      </c>
      <c r="D27" s="506">
        <v>53.1</v>
      </c>
      <c r="E27" s="507">
        <v>53.65</v>
      </c>
      <c r="F27" s="508">
        <v>54.63</v>
      </c>
      <c r="G27" s="1023"/>
    </row>
    <row r="28" spans="1:10" s="259" customFormat="1" ht="15.75" customHeight="1" thickBot="1">
      <c r="A28" s="1923" t="s">
        <v>208</v>
      </c>
      <c r="B28" s="1924"/>
      <c r="C28" s="352" t="s">
        <v>171</v>
      </c>
      <c r="D28" s="509">
        <v>19.059999999999999</v>
      </c>
      <c r="E28" s="510">
        <v>19.25</v>
      </c>
      <c r="F28" s="511">
        <v>19.600000000000001</v>
      </c>
      <c r="G28" s="1023"/>
    </row>
    <row r="29" spans="1:10" s="259" customFormat="1" ht="15" thickBot="1">
      <c r="A29" s="249"/>
      <c r="B29" s="249"/>
      <c r="C29" s="249"/>
      <c r="D29" s="249"/>
      <c r="E29" s="249"/>
      <c r="F29" s="250"/>
      <c r="G29" s="249"/>
    </row>
    <row r="30" spans="1:10" s="259" customFormat="1" ht="19" thickBot="1">
      <c r="A30" s="1784" t="s">
        <v>212</v>
      </c>
      <c r="B30" s="1782"/>
      <c r="C30" s="1782"/>
      <c r="D30" s="1782"/>
      <c r="E30" s="1782"/>
      <c r="F30" s="1782"/>
      <c r="G30" s="1782"/>
      <c r="H30" s="1782"/>
      <c r="I30" s="1782"/>
      <c r="J30" s="1783"/>
    </row>
    <row r="31" spans="1:10" s="259" customFormat="1" ht="15" customHeight="1" thickBot="1">
      <c r="A31" s="1925" t="s">
        <v>213</v>
      </c>
      <c r="B31" s="1927" t="s">
        <v>219</v>
      </c>
      <c r="C31" s="1928"/>
      <c r="D31" s="1929"/>
      <c r="E31" s="1927" t="s">
        <v>221</v>
      </c>
      <c r="F31" s="1928"/>
      <c r="G31" s="1929"/>
      <c r="H31" s="1927" t="s">
        <v>220</v>
      </c>
      <c r="I31" s="1928"/>
      <c r="J31" s="1929"/>
    </row>
    <row r="32" spans="1:10" s="259" customFormat="1" ht="15" thickBot="1">
      <c r="A32" s="1926"/>
      <c r="B32" s="335">
        <v>43191</v>
      </c>
      <c r="C32" s="335">
        <v>43374</v>
      </c>
      <c r="D32" s="335">
        <v>43556</v>
      </c>
      <c r="E32" s="335">
        <v>43191</v>
      </c>
      <c r="F32" s="336">
        <v>43374</v>
      </c>
      <c r="G32" s="335" t="s">
        <v>481</v>
      </c>
      <c r="H32" s="337">
        <v>43191</v>
      </c>
      <c r="I32" s="335">
        <v>43374</v>
      </c>
      <c r="J32" s="338">
        <v>43556</v>
      </c>
    </row>
    <row r="33" spans="1:10" s="259" customFormat="1" ht="15" customHeight="1">
      <c r="A33" s="330" t="s">
        <v>214</v>
      </c>
      <c r="B33" s="1024">
        <v>567.6</v>
      </c>
      <c r="C33" s="1024">
        <v>573.45000000000005</v>
      </c>
      <c r="D33" s="1024">
        <v>583.89</v>
      </c>
      <c r="E33" s="1024">
        <v>851.66</v>
      </c>
      <c r="F33" s="1025">
        <v>860.43</v>
      </c>
      <c r="G33" s="1026">
        <v>876.09</v>
      </c>
      <c r="H33" s="1027">
        <v>1135.21</v>
      </c>
      <c r="I33" s="1026">
        <v>1146.9000000000001</v>
      </c>
      <c r="J33" s="1028">
        <v>1167.77</v>
      </c>
    </row>
    <row r="34" spans="1:10" s="259" customFormat="1" ht="15" customHeight="1">
      <c r="A34" s="330" t="s">
        <v>215</v>
      </c>
      <c r="B34" s="1029">
        <v>567.6</v>
      </c>
      <c r="C34" s="1029">
        <v>573.45000000000005</v>
      </c>
      <c r="D34" s="1029">
        <v>583.89</v>
      </c>
      <c r="E34" s="1029">
        <v>851.66</v>
      </c>
      <c r="F34" s="1030">
        <v>860.43</v>
      </c>
      <c r="G34" s="305">
        <v>876.09</v>
      </c>
      <c r="H34" s="303">
        <v>1135.21</v>
      </c>
      <c r="I34" s="305">
        <v>1146.9000000000001</v>
      </c>
      <c r="J34" s="1031">
        <v>1167.77</v>
      </c>
    </row>
    <row r="35" spans="1:10" s="259" customFormat="1" ht="15" customHeight="1">
      <c r="A35" s="330" t="s">
        <v>216</v>
      </c>
      <c r="B35" s="1029">
        <v>567.6</v>
      </c>
      <c r="C35" s="1029">
        <v>573.45000000000005</v>
      </c>
      <c r="D35" s="1029">
        <v>583.89</v>
      </c>
      <c r="E35" s="1029">
        <v>1135.21</v>
      </c>
      <c r="F35" s="1030">
        <v>1146.9000000000001</v>
      </c>
      <c r="G35" s="305">
        <v>1167.77</v>
      </c>
      <c r="H35" s="303">
        <v>1702.81</v>
      </c>
      <c r="I35" s="305">
        <v>1720.35</v>
      </c>
      <c r="J35" s="1031">
        <v>1751.66</v>
      </c>
    </row>
    <row r="36" spans="1:10" s="259" customFormat="1" ht="15" customHeight="1">
      <c r="A36" s="330" t="s">
        <v>217</v>
      </c>
      <c r="B36" s="1029">
        <v>567.6</v>
      </c>
      <c r="C36" s="1029">
        <v>573.45000000000005</v>
      </c>
      <c r="D36" s="1029">
        <v>583.89</v>
      </c>
      <c r="E36" s="1029">
        <v>1135.21</v>
      </c>
      <c r="F36" s="1030">
        <v>1146.9000000000001</v>
      </c>
      <c r="G36" s="305">
        <v>1167.77</v>
      </c>
      <c r="H36" s="303">
        <v>1702.81</v>
      </c>
      <c r="I36" s="305">
        <v>1720.35</v>
      </c>
      <c r="J36" s="1031">
        <v>1751.66</v>
      </c>
    </row>
    <row r="37" spans="1:10" s="259" customFormat="1" ht="15" customHeight="1" thickBot="1">
      <c r="A37" s="331" t="s">
        <v>218</v>
      </c>
      <c r="B37" s="1032">
        <v>1702.81</v>
      </c>
      <c r="C37" s="1032">
        <v>1720.35</v>
      </c>
      <c r="D37" s="1032">
        <v>1751.66</v>
      </c>
      <c r="E37" s="1032">
        <v>2270.41</v>
      </c>
      <c r="F37" s="1033">
        <v>2293.8000000000002</v>
      </c>
      <c r="G37" s="311">
        <v>2335.5500000000002</v>
      </c>
      <c r="H37" s="309">
        <v>2838.02</v>
      </c>
      <c r="I37" s="311">
        <v>2867.25</v>
      </c>
      <c r="J37" s="1034">
        <v>2919.43</v>
      </c>
    </row>
    <row r="38" spans="1:10" s="259" customFormat="1" ht="15" thickBot="1">
      <c r="A38" s="249"/>
      <c r="B38" s="249"/>
      <c r="C38" s="249"/>
      <c r="D38" s="249"/>
      <c r="E38" s="249"/>
      <c r="F38" s="250"/>
      <c r="G38" s="249"/>
    </row>
    <row r="39" spans="1:10" s="259" customFormat="1" ht="19" thickBot="1">
      <c r="A39" s="1781" t="s">
        <v>222</v>
      </c>
      <c r="B39" s="1782"/>
      <c r="C39" s="1782"/>
      <c r="D39" s="1782"/>
      <c r="E39" s="1782"/>
      <c r="F39" s="1782"/>
      <c r="G39" s="1782"/>
      <c r="H39" s="1782"/>
      <c r="I39" s="1782"/>
      <c r="J39" s="1783"/>
    </row>
    <row r="40" spans="1:10" s="259" customFormat="1" ht="15" customHeight="1" thickBot="1">
      <c r="A40" s="1925" t="s">
        <v>213</v>
      </c>
      <c r="B40" s="1927" t="s">
        <v>219</v>
      </c>
      <c r="C40" s="1928"/>
      <c r="D40" s="1929"/>
      <c r="E40" s="1928" t="s">
        <v>221</v>
      </c>
      <c r="F40" s="1928"/>
      <c r="G40" s="1928"/>
      <c r="H40" s="1927" t="s">
        <v>220</v>
      </c>
      <c r="I40" s="1928"/>
      <c r="J40" s="1929"/>
    </row>
    <row r="41" spans="1:10" s="259" customFormat="1" ht="15" thickBot="1">
      <c r="A41" s="1926"/>
      <c r="B41" s="333">
        <v>43191</v>
      </c>
      <c r="C41" s="333">
        <v>43374</v>
      </c>
      <c r="D41" s="333">
        <v>43556</v>
      </c>
      <c r="E41" s="333">
        <v>43191</v>
      </c>
      <c r="F41" s="333">
        <v>43374</v>
      </c>
      <c r="G41" s="333">
        <v>43556</v>
      </c>
      <c r="H41" s="333">
        <v>43191</v>
      </c>
      <c r="I41" s="333">
        <v>43374</v>
      </c>
      <c r="J41" s="334">
        <v>43556</v>
      </c>
    </row>
    <row r="42" spans="1:10" s="259" customFormat="1" ht="15" customHeight="1">
      <c r="A42" s="328" t="s">
        <v>223</v>
      </c>
      <c r="B42" s="1035">
        <v>567.6</v>
      </c>
      <c r="C42" s="1035">
        <v>573.45000000000005</v>
      </c>
      <c r="D42" s="1035">
        <v>583.89</v>
      </c>
      <c r="E42" s="1035">
        <v>1135.21</v>
      </c>
      <c r="F42" s="1035">
        <v>1146.9000000000001</v>
      </c>
      <c r="G42" s="1036">
        <v>1167.77</v>
      </c>
      <c r="H42" s="1036">
        <v>1702.81</v>
      </c>
      <c r="I42" s="1036">
        <v>1720.35</v>
      </c>
      <c r="J42" s="1036">
        <v>1751.66</v>
      </c>
    </row>
    <row r="43" spans="1:10" s="259" customFormat="1" ht="15" customHeight="1">
      <c r="A43" s="328" t="s">
        <v>218</v>
      </c>
      <c r="B43" s="1029">
        <v>1702.81</v>
      </c>
      <c r="C43" s="1029">
        <v>1720.35</v>
      </c>
      <c r="D43" s="1029">
        <v>1751.66</v>
      </c>
      <c r="E43" s="1029">
        <v>2270.41</v>
      </c>
      <c r="F43" s="1029">
        <v>2293.8000000000002</v>
      </c>
      <c r="G43" s="305">
        <v>2335.5500000000002</v>
      </c>
      <c r="H43" s="305">
        <v>2838.02</v>
      </c>
      <c r="I43" s="305">
        <v>2867.25</v>
      </c>
      <c r="J43" s="305">
        <v>2919.43</v>
      </c>
    </row>
    <row r="44" spans="1:10" s="259" customFormat="1" ht="15" customHeight="1">
      <c r="A44" s="328" t="s">
        <v>224</v>
      </c>
      <c r="B44" s="1029">
        <v>1135.21</v>
      </c>
      <c r="C44" s="1029">
        <v>1146.9000000000001</v>
      </c>
      <c r="D44" s="305">
        <v>1167.77</v>
      </c>
      <c r="E44" s="1029">
        <v>1702.3</v>
      </c>
      <c r="F44" s="1029">
        <v>1720.35</v>
      </c>
      <c r="G44" s="305">
        <v>1751.66</v>
      </c>
      <c r="H44" s="305">
        <v>2270.41</v>
      </c>
      <c r="I44" s="305">
        <v>2293.8000000000002</v>
      </c>
      <c r="J44" s="305">
        <v>2335.5500000000002</v>
      </c>
    </row>
    <row r="45" spans="1:10" s="259" customFormat="1" ht="15" customHeight="1">
      <c r="A45" s="328" t="s">
        <v>225</v>
      </c>
      <c r="B45" s="1029">
        <v>1135.21</v>
      </c>
      <c r="C45" s="1029">
        <v>1146.9000000000001</v>
      </c>
      <c r="D45" s="305">
        <v>1167.77</v>
      </c>
      <c r="E45" s="1029">
        <v>1135.21</v>
      </c>
      <c r="F45" s="1029">
        <v>1146.9000000000001</v>
      </c>
      <c r="G45" s="305">
        <v>1167.77</v>
      </c>
      <c r="H45" s="305">
        <v>1135.21</v>
      </c>
      <c r="I45" s="305">
        <v>1146.9000000000001</v>
      </c>
      <c r="J45" s="305">
        <v>1167.77</v>
      </c>
    </row>
    <row r="46" spans="1:10" s="259" customFormat="1" ht="15" customHeight="1">
      <c r="A46" s="328" t="s">
        <v>356</v>
      </c>
      <c r="B46" s="1029">
        <v>567.6</v>
      </c>
      <c r="C46" s="1029">
        <v>573.45000000000005</v>
      </c>
      <c r="D46" s="1029">
        <v>583.89</v>
      </c>
      <c r="E46" s="1029">
        <v>851.66</v>
      </c>
      <c r="F46" s="1029">
        <v>860.43</v>
      </c>
      <c r="G46" s="305">
        <v>876.09</v>
      </c>
      <c r="H46" s="305">
        <v>1135.21</v>
      </c>
      <c r="I46" s="305">
        <v>1146.9000000000001</v>
      </c>
      <c r="J46" s="305">
        <v>1167.77</v>
      </c>
    </row>
    <row r="47" spans="1:10" s="259" customFormat="1" ht="15" customHeight="1" thickBot="1">
      <c r="A47" s="329" t="s">
        <v>226</v>
      </c>
      <c r="B47" s="1032">
        <v>1135.21</v>
      </c>
      <c r="C47" s="1032">
        <v>1146.9000000000001</v>
      </c>
      <c r="D47" s="311">
        <v>1167.77</v>
      </c>
      <c r="E47" s="1032">
        <v>1702.81</v>
      </c>
      <c r="F47" s="1032">
        <v>1720.35</v>
      </c>
      <c r="G47" s="311">
        <v>1751.66</v>
      </c>
      <c r="H47" s="311">
        <v>2270.41</v>
      </c>
      <c r="I47" s="311">
        <v>2293.8000000000002</v>
      </c>
      <c r="J47" s="311">
        <v>2335.5500000000002</v>
      </c>
    </row>
    <row r="48" spans="1:10" s="259" customFormat="1" ht="9" customHeight="1">
      <c r="A48" s="1037"/>
      <c r="B48" s="1038"/>
      <c r="C48" s="1038"/>
      <c r="D48" s="1039"/>
      <c r="E48" s="1038"/>
      <c r="F48" s="1038"/>
      <c r="G48" s="1039"/>
      <c r="H48" s="1040"/>
      <c r="I48" s="1039"/>
      <c r="J48" s="1039"/>
    </row>
    <row r="49" spans="1:10" s="259" customFormat="1" ht="15" customHeight="1">
      <c r="A49" s="259" t="s">
        <v>248</v>
      </c>
      <c r="F49" s="327"/>
      <c r="G49" s="249"/>
      <c r="H49" s="1040"/>
      <c r="I49" s="1039"/>
      <c r="J49" s="1039"/>
    </row>
    <row r="50" spans="1:10" s="259" customFormat="1" ht="12.75" customHeight="1">
      <c r="A50" s="527" t="s">
        <v>211</v>
      </c>
      <c r="F50" s="327"/>
      <c r="G50" s="249"/>
      <c r="H50" s="1040"/>
      <c r="I50" s="1039"/>
      <c r="J50" s="1039"/>
    </row>
    <row r="51" spans="1:10" s="376" customFormat="1" ht="25.5" customHeight="1" thickBot="1">
      <c r="A51" s="528" t="s">
        <v>357</v>
      </c>
    </row>
    <row r="52" spans="1:10" s="376" customFormat="1" ht="19" thickBot="1">
      <c r="A52" s="1933" t="s">
        <v>246</v>
      </c>
      <c r="B52" s="1934"/>
      <c r="C52" s="1934"/>
      <c r="D52" s="1934"/>
      <c r="E52" s="1934"/>
      <c r="F52" s="1934"/>
      <c r="G52" s="1935"/>
      <c r="H52" s="1041"/>
    </row>
    <row r="53" spans="1:10" s="376" customFormat="1" ht="16" customHeight="1" thickBot="1">
      <c r="A53" s="1930" t="s">
        <v>471</v>
      </c>
      <c r="B53" s="1931"/>
      <c r="C53" s="1931"/>
      <c r="D53" s="1931"/>
      <c r="E53" s="1931"/>
      <c r="F53" s="1931"/>
      <c r="G53" s="1932"/>
    </row>
    <row r="54" spans="1:10" s="376" customFormat="1" ht="15" thickBot="1">
      <c r="A54" s="1042"/>
      <c r="B54" s="859">
        <v>43191</v>
      </c>
      <c r="C54" s="632">
        <v>43374</v>
      </c>
      <c r="D54" s="860">
        <v>43556</v>
      </c>
      <c r="E54" s="859">
        <v>43739</v>
      </c>
      <c r="F54" s="632">
        <v>43922</v>
      </c>
      <c r="G54" s="860">
        <v>44228</v>
      </c>
    </row>
    <row r="55" spans="1:10" s="376" customFormat="1" ht="15" thickBot="1">
      <c r="A55" s="1016" t="s">
        <v>247</v>
      </c>
      <c r="B55" s="1043">
        <v>1.63</v>
      </c>
      <c r="C55" s="1044">
        <v>1.03</v>
      </c>
      <c r="D55" s="1045">
        <v>1.82</v>
      </c>
      <c r="E55" s="1043">
        <v>0.86</v>
      </c>
      <c r="F55" s="1044">
        <v>1.98</v>
      </c>
      <c r="G55" s="1045">
        <v>0.68</v>
      </c>
      <c r="H55" s="252"/>
    </row>
    <row r="56" spans="1:10" s="376" customFormat="1" ht="14">
      <c r="A56" s="1046"/>
      <c r="B56" s="1047"/>
      <c r="C56" s="1048"/>
      <c r="D56" s="1048"/>
    </row>
    <row r="57" spans="1:10" s="259" customFormat="1" ht="15" thickBot="1">
      <c r="A57" s="261"/>
    </row>
    <row r="58" spans="1:10" s="259" customFormat="1" ht="19" thickBot="1">
      <c r="A58" s="1781" t="s">
        <v>478</v>
      </c>
      <c r="B58" s="1782"/>
      <c r="C58" s="1782"/>
      <c r="D58" s="1783"/>
    </row>
    <row r="59" spans="1:10" s="259" customFormat="1" ht="15" thickBot="1">
      <c r="A59" s="1911" t="s">
        <v>480</v>
      </c>
      <c r="B59" s="1912"/>
      <c r="C59" s="1912"/>
      <c r="D59" s="1913"/>
    </row>
    <row r="60" spans="1:10" s="259" customFormat="1" ht="15" thickBot="1">
      <c r="A60" s="1015"/>
      <c r="B60" s="340">
        <v>43191</v>
      </c>
      <c r="C60" s="339">
        <v>43374</v>
      </c>
      <c r="D60" s="341">
        <v>43556</v>
      </c>
    </row>
    <row r="61" spans="1:10" s="259" customFormat="1" ht="15" thickBot="1">
      <c r="A61" s="1016" t="s">
        <v>479</v>
      </c>
      <c r="B61" s="1017">
        <v>3048.9</v>
      </c>
      <c r="C61" s="1018">
        <v>3080.3</v>
      </c>
      <c r="D61" s="1019">
        <v>3136.37</v>
      </c>
    </row>
    <row r="62" spans="1:10" s="259" customFormat="1" ht="14">
      <c r="A62" s="1049"/>
      <c r="B62" s="1049"/>
      <c r="C62" s="1050"/>
      <c r="D62" s="1050"/>
    </row>
    <row r="63" spans="1:10" ht="14">
      <c r="A63" s="1049"/>
      <c r="B63" s="1049"/>
      <c r="C63" s="1050"/>
      <c r="D63" s="1050"/>
      <c r="E63" s="259"/>
      <c r="F63" s="259"/>
      <c r="G63" s="259"/>
      <c r="H63" s="259"/>
      <c r="I63" s="259"/>
      <c r="J63" s="259"/>
    </row>
    <row r="64" spans="1:10" ht="14">
      <c r="A64" s="1051"/>
      <c r="B64" s="1051"/>
      <c r="C64" s="1052"/>
      <c r="D64" s="1050"/>
      <c r="E64" s="902"/>
      <c r="F64" s="902"/>
      <c r="G64" s="902"/>
      <c r="H64" s="902"/>
      <c r="I64" s="259"/>
      <c r="J64" s="259"/>
    </row>
    <row r="65" spans="1:10" ht="14">
      <c r="A65" s="1051"/>
      <c r="B65" s="1051"/>
      <c r="C65" s="1052"/>
      <c r="D65" s="1050"/>
      <c r="E65" s="259"/>
      <c r="F65" s="259"/>
      <c r="G65" s="259"/>
      <c r="H65" s="259"/>
      <c r="I65" s="259"/>
      <c r="J65" s="259"/>
    </row>
    <row r="66" spans="1:10" ht="14">
      <c r="A66" s="286"/>
      <c r="B66" s="286"/>
      <c r="C66" s="286"/>
      <c r="D66" s="286"/>
      <c r="E66" s="259"/>
      <c r="F66" s="259"/>
      <c r="G66" s="259"/>
      <c r="H66" s="259"/>
      <c r="I66" s="259"/>
      <c r="J66" s="259"/>
    </row>
    <row r="67" spans="1:10" ht="14">
      <c r="A67" s="259"/>
      <c r="B67" s="259"/>
      <c r="C67" s="259"/>
      <c r="D67" s="259"/>
      <c r="E67" s="259"/>
      <c r="F67" s="259"/>
      <c r="G67" s="259"/>
      <c r="H67" s="259"/>
      <c r="I67" s="259"/>
      <c r="J67" s="259"/>
    </row>
    <row r="68" spans="1:10" ht="14">
      <c r="A68" s="259"/>
      <c r="B68" s="259"/>
      <c r="C68" s="259"/>
      <c r="D68" s="259"/>
      <c r="E68" s="259"/>
      <c r="F68" s="259"/>
      <c r="G68" s="259"/>
      <c r="H68" s="259"/>
      <c r="I68" s="259"/>
      <c r="J68" s="259"/>
    </row>
    <row r="69" spans="1:10" ht="14">
      <c r="A69" s="259"/>
      <c r="B69" s="259"/>
      <c r="C69" s="259"/>
      <c r="D69" s="259"/>
      <c r="E69" s="259"/>
      <c r="F69" s="259"/>
      <c r="G69" s="259"/>
      <c r="H69" s="259"/>
      <c r="I69" s="259"/>
      <c r="J69" s="259"/>
    </row>
    <row r="70" spans="1:10" ht="14">
      <c r="A70" s="259"/>
      <c r="B70" s="259"/>
      <c r="C70" s="259"/>
      <c r="D70" s="259"/>
    </row>
    <row r="71" spans="1:10" ht="14">
      <c r="A71" s="902"/>
      <c r="B71" s="902"/>
      <c r="C71" s="902"/>
      <c r="D71" s="902"/>
    </row>
    <row r="72" spans="1:10" s="259" customFormat="1" ht="14">
      <c r="A72" s="902"/>
      <c r="E72" s="332"/>
      <c r="F72" s="332"/>
      <c r="G72" s="332"/>
      <c r="H72" s="332"/>
      <c r="I72" s="332"/>
      <c r="J72" s="332"/>
    </row>
    <row r="73" spans="1:10" s="259" customFormat="1" ht="14">
      <c r="E73" s="332"/>
      <c r="F73" s="332"/>
      <c r="G73" s="332"/>
      <c r="H73" s="332"/>
      <c r="I73" s="332"/>
      <c r="J73" s="332"/>
    </row>
    <row r="74" spans="1:10" s="259" customFormat="1" ht="14">
      <c r="E74" s="332"/>
      <c r="F74" s="332"/>
      <c r="G74" s="332"/>
      <c r="H74" s="332"/>
      <c r="I74" s="332"/>
      <c r="J74" s="332"/>
    </row>
    <row r="75" spans="1:10" s="259" customFormat="1" ht="14">
      <c r="E75" s="332"/>
      <c r="F75" s="332"/>
      <c r="G75" s="332"/>
      <c r="H75" s="332"/>
      <c r="I75" s="332"/>
      <c r="J75" s="332"/>
    </row>
    <row r="76" spans="1:10" s="259" customFormat="1" ht="14">
      <c r="E76" s="332"/>
      <c r="F76" s="332"/>
      <c r="G76" s="332"/>
      <c r="H76" s="332"/>
      <c r="I76" s="332"/>
      <c r="J76" s="332"/>
    </row>
    <row r="77" spans="1:10" s="259" customFormat="1" ht="14">
      <c r="A77" s="332"/>
      <c r="B77" s="332"/>
      <c r="C77" s="332"/>
      <c r="D77" s="332"/>
      <c r="E77" s="332"/>
      <c r="F77" s="332"/>
      <c r="G77" s="332"/>
      <c r="H77" s="332"/>
      <c r="I77" s="332"/>
      <c r="J77" s="332"/>
    </row>
    <row r="78" spans="1:10" s="259" customFormat="1" ht="14">
      <c r="A78" s="332"/>
      <c r="B78" s="332"/>
      <c r="C78" s="332"/>
      <c r="D78" s="332"/>
      <c r="E78" s="332"/>
      <c r="F78" s="332"/>
      <c r="G78" s="332"/>
      <c r="H78" s="332"/>
      <c r="I78" s="332"/>
      <c r="J78" s="332"/>
    </row>
    <row r="79" spans="1:10" s="259" customFormat="1" ht="14">
      <c r="A79" s="332"/>
      <c r="B79" s="332"/>
      <c r="C79" s="332"/>
      <c r="D79" s="332"/>
    </row>
    <row r="80" spans="1:10" s="259" customFormat="1" ht="14">
      <c r="A80" s="332"/>
      <c r="B80" s="332"/>
      <c r="C80" s="332"/>
      <c r="D80" s="332"/>
    </row>
    <row r="81" spans="1:4" s="259" customFormat="1" ht="14">
      <c r="A81" s="332"/>
      <c r="B81" s="332"/>
      <c r="C81" s="332"/>
      <c r="D81" s="332"/>
    </row>
    <row r="82" spans="1:4" s="259" customFormat="1" ht="14">
      <c r="A82" s="332"/>
      <c r="B82" s="332"/>
      <c r="C82" s="332"/>
      <c r="D82" s="332"/>
    </row>
    <row r="83" spans="1:4" s="259" customFormat="1" ht="14">
      <c r="A83" s="332"/>
      <c r="B83" s="332"/>
      <c r="C83" s="332"/>
      <c r="D83" s="332"/>
    </row>
    <row r="84" spans="1:4" s="259" customFormat="1" ht="14">
      <c r="A84" s="332"/>
      <c r="B84" s="332"/>
      <c r="C84" s="332"/>
      <c r="D84" s="332"/>
    </row>
    <row r="85" spans="1:4" s="259" customFormat="1" ht="14">
      <c r="A85" s="332"/>
      <c r="B85" s="332"/>
      <c r="C85" s="332"/>
      <c r="D85" s="332"/>
    </row>
    <row r="86" spans="1:4" s="259" customFormat="1" ht="14"/>
    <row r="87" spans="1:4" s="259" customFormat="1" ht="14"/>
    <row r="88" spans="1:4" s="259" customFormat="1" ht="14"/>
    <row r="89" spans="1:4" s="259" customFormat="1" ht="14"/>
    <row r="90" spans="1:4" s="259" customFormat="1" ht="14"/>
    <row r="91" spans="1:4" s="259" customFormat="1" ht="14"/>
    <row r="92" spans="1:4" s="259" customFormat="1" ht="14"/>
    <row r="93" spans="1:4" s="259" customFormat="1" ht="14"/>
    <row r="94" spans="1:4" s="259" customFormat="1" ht="14"/>
    <row r="95" spans="1:4" s="259" customFormat="1" ht="14"/>
    <row r="96" spans="1:4" s="259" customFormat="1" ht="14"/>
    <row r="97" s="259" customFormat="1" ht="14"/>
    <row r="98" s="259" customFormat="1" ht="14"/>
    <row r="99" s="259" customFormat="1" ht="14"/>
    <row r="100" s="259" customFormat="1" ht="14"/>
    <row r="101" s="259" customFormat="1" ht="14"/>
    <row r="102" s="259" customFormat="1" ht="14"/>
    <row r="103" s="259" customFormat="1" ht="14"/>
    <row r="104" s="259" customFormat="1" ht="14"/>
    <row r="105" s="259" customFormat="1" ht="14"/>
    <row r="106" s="259" customFormat="1" ht="14"/>
    <row r="107" s="259" customFormat="1" ht="14"/>
    <row r="108" s="259" customFormat="1" ht="14"/>
    <row r="109" s="259" customFormat="1" ht="14"/>
    <row r="110" s="259" customFormat="1" ht="14"/>
    <row r="111" s="259" customFormat="1" ht="14"/>
    <row r="112" s="259" customFormat="1" ht="14"/>
    <row r="113" s="259" customFormat="1" ht="14"/>
    <row r="114" s="259" customFormat="1" ht="14"/>
    <row r="115" s="259" customFormat="1" ht="14"/>
    <row r="116" s="259" customFormat="1" ht="14"/>
    <row r="117" s="259" customFormat="1" ht="14"/>
    <row r="118" s="259" customFormat="1" ht="14"/>
    <row r="119" s="259" customFormat="1" ht="14"/>
    <row r="120" s="259" customFormat="1" ht="14"/>
    <row r="121" s="259" customFormat="1" ht="14"/>
    <row r="122" s="259" customFormat="1" ht="14"/>
    <row r="123" s="259" customFormat="1" ht="14"/>
    <row r="124" s="259" customFormat="1" ht="14"/>
    <row r="125" s="259" customFormat="1" ht="14"/>
    <row r="126" s="259" customFormat="1" ht="14"/>
    <row r="127" s="259" customFormat="1" ht="14"/>
    <row r="128" s="259" customFormat="1" ht="14"/>
    <row r="129" s="259" customFormat="1" ht="14"/>
    <row r="130" s="259" customFormat="1" ht="14"/>
    <row r="131" s="259" customFormat="1" ht="14"/>
    <row r="132" s="259" customFormat="1" ht="14"/>
    <row r="133" s="259" customFormat="1" ht="14"/>
    <row r="134" s="259" customFormat="1" ht="14"/>
    <row r="135" s="259" customFormat="1" ht="14"/>
    <row r="136" s="259" customFormat="1" ht="14"/>
    <row r="137" s="259" customFormat="1" ht="14"/>
    <row r="138" s="259" customFormat="1" ht="14"/>
    <row r="139" s="259" customFormat="1" ht="14"/>
    <row r="140" s="259" customFormat="1" ht="14"/>
    <row r="141" s="259" customFormat="1" ht="14"/>
    <row r="142" s="259" customFormat="1" ht="14"/>
    <row r="143" s="259" customFormat="1" ht="14"/>
    <row r="144" s="259" customFormat="1" ht="14"/>
    <row r="145" spans="1:10" s="259" customFormat="1" ht="14"/>
    <row r="146" spans="1:10" s="259" customFormat="1" ht="14"/>
    <row r="147" spans="1:10" s="259" customFormat="1" ht="14"/>
    <row r="148" spans="1:10" s="259" customFormat="1" ht="14"/>
    <row r="149" spans="1:10" s="259" customFormat="1" ht="14"/>
    <row r="150" spans="1:10" s="259" customFormat="1" ht="14"/>
    <row r="151" spans="1:10" s="259" customFormat="1" ht="14"/>
    <row r="152" spans="1:10" s="259" customFormat="1" ht="14"/>
    <row r="153" spans="1:10" s="259" customFormat="1" ht="14"/>
    <row r="154" spans="1:10" ht="14">
      <c r="A154" s="259"/>
      <c r="B154" s="259"/>
      <c r="C154" s="259"/>
      <c r="D154" s="259"/>
      <c r="E154" s="259"/>
      <c r="F154" s="259"/>
      <c r="G154" s="259"/>
      <c r="H154" s="259"/>
      <c r="I154" s="259"/>
      <c r="J154" s="259"/>
    </row>
    <row r="155" spans="1:10" ht="14">
      <c r="A155" s="259"/>
      <c r="B155" s="259"/>
      <c r="C155" s="259"/>
      <c r="D155" s="259"/>
      <c r="E155" s="259"/>
      <c r="F155" s="259"/>
      <c r="G155" s="259"/>
      <c r="H155" s="259"/>
      <c r="I155" s="259"/>
      <c r="J155" s="259"/>
    </row>
    <row r="156" spans="1:10" ht="14">
      <c r="A156" s="259"/>
      <c r="B156" s="259"/>
      <c r="C156" s="259"/>
      <c r="D156" s="259"/>
      <c r="E156" s="259"/>
      <c r="F156" s="259"/>
      <c r="G156" s="259"/>
      <c r="H156" s="259"/>
      <c r="I156" s="259"/>
      <c r="J156" s="259"/>
    </row>
    <row r="157" spans="1:10" ht="14">
      <c r="A157" s="259"/>
      <c r="B157" s="259"/>
      <c r="C157" s="259"/>
      <c r="D157" s="259"/>
      <c r="E157" s="259"/>
      <c r="F157" s="259"/>
      <c r="G157" s="259"/>
      <c r="H157" s="259"/>
      <c r="I157" s="259"/>
      <c r="J157" s="259"/>
    </row>
    <row r="158" spans="1:10" ht="14">
      <c r="A158" s="259"/>
      <c r="B158" s="259"/>
      <c r="C158" s="259"/>
      <c r="D158" s="259"/>
      <c r="E158" s="259"/>
      <c r="F158" s="259"/>
      <c r="G158" s="259"/>
      <c r="H158" s="259"/>
      <c r="I158" s="259"/>
      <c r="J158" s="259"/>
    </row>
    <row r="159" spans="1:10" ht="14">
      <c r="A159" s="259"/>
      <c r="B159" s="259"/>
      <c r="C159" s="259"/>
      <c r="D159" s="259"/>
      <c r="E159" s="259"/>
      <c r="F159" s="259"/>
      <c r="G159" s="259"/>
      <c r="H159" s="259"/>
      <c r="I159" s="259"/>
      <c r="J159" s="259"/>
    </row>
    <row r="160" spans="1:10" ht="14">
      <c r="A160" s="259"/>
      <c r="B160" s="259"/>
      <c r="C160" s="259"/>
      <c r="D160" s="259"/>
      <c r="E160" s="259"/>
      <c r="F160" s="259"/>
      <c r="G160" s="259"/>
      <c r="H160" s="259"/>
      <c r="I160" s="259"/>
      <c r="J160" s="259"/>
    </row>
    <row r="161" spans="1:4" ht="14">
      <c r="A161" s="259"/>
      <c r="B161" s="259"/>
      <c r="C161" s="259"/>
      <c r="D161" s="259"/>
    </row>
    <row r="162" spans="1:4" ht="14">
      <c r="A162" s="259"/>
      <c r="B162" s="259"/>
      <c r="C162" s="259"/>
      <c r="D162" s="259"/>
    </row>
    <row r="163" spans="1:4" ht="14">
      <c r="A163" s="259"/>
      <c r="B163" s="259"/>
      <c r="C163" s="259"/>
      <c r="D163" s="259"/>
    </row>
    <row r="164" spans="1:4" ht="14">
      <c r="A164" s="259"/>
      <c r="B164" s="259"/>
      <c r="C164" s="259"/>
      <c r="D164" s="259"/>
    </row>
    <row r="165" spans="1:4" ht="14">
      <c r="A165" s="259"/>
      <c r="B165" s="259"/>
      <c r="C165" s="259"/>
      <c r="D165" s="259"/>
    </row>
    <row r="166" spans="1:4" ht="14">
      <c r="A166" s="259"/>
      <c r="B166" s="259"/>
      <c r="C166" s="259"/>
      <c r="D166" s="259"/>
    </row>
    <row r="167" spans="1:4" ht="14">
      <c r="A167" s="259"/>
      <c r="B167" s="259"/>
      <c r="C167" s="259"/>
      <c r="D167" s="259"/>
    </row>
  </sheetData>
  <mergeCells count="29">
    <mergeCell ref="A53:G53"/>
    <mergeCell ref="A58:D58"/>
    <mergeCell ref="A59:D59"/>
    <mergeCell ref="A39:J39"/>
    <mergeCell ref="A40:A41"/>
    <mergeCell ref="B40:D40"/>
    <mergeCell ref="E40:G40"/>
    <mergeCell ref="H40:J40"/>
    <mergeCell ref="A52:G52"/>
    <mergeCell ref="A26:B26"/>
    <mergeCell ref="A27:B27"/>
    <mergeCell ref="A28:B28"/>
    <mergeCell ref="A30:J30"/>
    <mergeCell ref="A31:A32"/>
    <mergeCell ref="B31:D31"/>
    <mergeCell ref="E31:G31"/>
    <mergeCell ref="H31:J31"/>
    <mergeCell ref="A25:B25"/>
    <mergeCell ref="A1:J1"/>
    <mergeCell ref="A2:J2"/>
    <mergeCell ref="A3:J3"/>
    <mergeCell ref="A4:J4"/>
    <mergeCell ref="A6:D6"/>
    <mergeCell ref="E6:H6"/>
    <mergeCell ref="A12:D12"/>
    <mergeCell ref="A13:D13"/>
    <mergeCell ref="A17:E17"/>
    <mergeCell ref="A23:F23"/>
    <mergeCell ref="A24:C24"/>
  </mergeCells>
  <pageMargins left="0.59" right="0.39" top="0.75" bottom="0.75" header="0.31" footer="0.31"/>
  <pageSetup paperSize="9" scale="73" orientation="portrait" r:id="rId1"/>
  <headerFooter>
    <oddFooter>&amp;C&amp;"Calibri,Normal"&amp;8&amp;K000000Løntabel Foreningen af Kristne Friskoler og Krifa&amp;R&amp;"Calibri,Normal"&amp;8&amp;K000000&amp;P af i alt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T89"/>
  <sheetViews>
    <sheetView view="pageBreakPreview" topLeftCell="A4" workbookViewId="0">
      <selection activeCell="J17" sqref="J17"/>
    </sheetView>
  </sheetViews>
  <sheetFormatPr baseColWidth="10" defaultColWidth="8.83203125" defaultRowHeight="15"/>
  <cols>
    <col min="1" max="1" width="13.33203125" customWidth="1"/>
    <col min="2" max="3" width="11.33203125" customWidth="1"/>
    <col min="4" max="6" width="9.83203125" customWidth="1"/>
    <col min="7" max="7" width="10.1640625" customWidth="1"/>
    <col min="8" max="8" width="8.83203125" customWidth="1"/>
    <col min="9" max="9" width="9.6640625" customWidth="1"/>
    <col min="10" max="10" width="20" customWidth="1"/>
    <col min="11" max="11" width="9.6640625" bestFit="1" customWidth="1"/>
  </cols>
  <sheetData>
    <row r="1" spans="1:20" ht="30" customHeight="1" thickBot="1">
      <c r="A1" s="1942" t="s">
        <v>130</v>
      </c>
      <c r="B1" s="1943"/>
      <c r="C1" s="1943"/>
      <c r="D1" s="1943"/>
      <c r="E1" s="1943"/>
      <c r="F1" s="1943"/>
      <c r="G1" s="1943"/>
      <c r="H1" s="1944"/>
      <c r="I1" s="1955"/>
      <c r="J1" s="1956"/>
    </row>
    <row r="2" spans="1:20" s="38" customFormat="1" ht="12" customHeight="1" thickBot="1">
      <c r="A2" s="1954"/>
      <c r="B2" s="1954"/>
      <c r="C2" s="1954"/>
      <c r="D2" s="1954"/>
      <c r="E2" s="1954"/>
      <c r="F2" s="1954"/>
      <c r="G2" s="1954"/>
      <c r="H2" s="1954"/>
      <c r="I2" s="1954"/>
      <c r="J2" s="1954"/>
      <c r="K2" s="27"/>
      <c r="L2" s="27"/>
      <c r="M2" s="27"/>
    </row>
    <row r="3" spans="1:20" s="38" customFormat="1" ht="19" customHeight="1" thickBot="1">
      <c r="A3" s="1172" t="s">
        <v>494</v>
      </c>
      <c r="B3" s="1173"/>
      <c r="C3" s="1173"/>
      <c r="D3" s="1173"/>
      <c r="E3" s="1173"/>
      <c r="F3" s="1173"/>
      <c r="G3" s="1173"/>
      <c r="H3" s="1229"/>
      <c r="I3" s="1957"/>
      <c r="J3" s="1593"/>
      <c r="K3" s="27"/>
    </row>
    <row r="4" spans="1:20" ht="21" customHeight="1" thickBot="1">
      <c r="A4" s="97"/>
      <c r="B4" s="1967" t="s">
        <v>37</v>
      </c>
      <c r="C4" s="1664"/>
      <c r="D4" s="1664"/>
      <c r="E4" s="1664"/>
      <c r="F4" s="1664"/>
      <c r="G4" s="1664"/>
      <c r="H4" s="1665"/>
      <c r="I4" s="1957"/>
      <c r="J4" s="1593"/>
      <c r="K4" s="2"/>
    </row>
    <row r="5" spans="1:20" ht="15" customHeight="1">
      <c r="A5" s="1939"/>
      <c r="B5" s="1515" t="s">
        <v>34</v>
      </c>
      <c r="C5" s="1429"/>
      <c r="D5" s="1515" t="s">
        <v>106</v>
      </c>
      <c r="E5" s="1429"/>
      <c r="F5" s="1515" t="s">
        <v>107</v>
      </c>
      <c r="G5" s="1429"/>
      <c r="H5" s="1662" t="s">
        <v>108</v>
      </c>
      <c r="I5" s="1957"/>
      <c r="J5" s="1593"/>
      <c r="K5" s="2"/>
    </row>
    <row r="6" spans="1:20" ht="33.75" customHeight="1" thickBot="1">
      <c r="A6" s="1940"/>
      <c r="B6" s="1520"/>
      <c r="C6" s="1522"/>
      <c r="D6" s="1520"/>
      <c r="E6" s="1522"/>
      <c r="F6" s="1520"/>
      <c r="G6" s="1522"/>
      <c r="H6" s="1663"/>
      <c r="I6" s="1957"/>
      <c r="J6" s="1593"/>
      <c r="K6" s="2"/>
    </row>
    <row r="7" spans="1:20" ht="17" customHeight="1">
      <c r="A7" s="98" t="s">
        <v>35</v>
      </c>
      <c r="B7" s="1961">
        <v>94.65</v>
      </c>
      <c r="C7" s="1962"/>
      <c r="D7" s="1961">
        <v>63.1</v>
      </c>
      <c r="E7" s="1962"/>
      <c r="F7" s="1945">
        <v>31.55</v>
      </c>
      <c r="G7" s="1945"/>
      <c r="H7" s="140">
        <v>0</v>
      </c>
      <c r="I7" s="1957"/>
      <c r="J7" s="1593"/>
      <c r="K7" s="2"/>
    </row>
    <row r="8" spans="1:20" ht="17" customHeight="1" thickBot="1">
      <c r="A8" s="99" t="s">
        <v>36</v>
      </c>
      <c r="B8" s="1946">
        <v>189.35</v>
      </c>
      <c r="C8" s="1947"/>
      <c r="D8" s="1963">
        <v>126.25</v>
      </c>
      <c r="E8" s="1964"/>
      <c r="F8" s="1941">
        <v>63.1</v>
      </c>
      <c r="G8" s="1941"/>
      <c r="H8" s="141">
        <v>0</v>
      </c>
      <c r="I8" s="1957"/>
      <c r="J8" s="1593"/>
      <c r="K8" s="2"/>
    </row>
    <row r="9" spans="1:20" ht="17" customHeight="1" thickBot="1">
      <c r="A9" s="100" t="s">
        <v>22</v>
      </c>
      <c r="B9" s="1948">
        <f>SUM(B7:C8)</f>
        <v>284</v>
      </c>
      <c r="C9" s="1948"/>
      <c r="D9" s="1965">
        <f>SUM(D7:E8)</f>
        <v>189.35</v>
      </c>
      <c r="E9" s="1966"/>
      <c r="F9" s="1948">
        <f>SUM(F7:G8)</f>
        <v>94.65</v>
      </c>
      <c r="G9" s="1948"/>
      <c r="H9" s="142">
        <f>SUM(H7:I8)</f>
        <v>0</v>
      </c>
      <c r="I9" s="1957"/>
      <c r="J9" s="1593"/>
      <c r="K9" s="143"/>
    </row>
    <row r="10" spans="1:20" ht="17" customHeight="1">
      <c r="A10" s="1958" t="s">
        <v>312</v>
      </c>
      <c r="B10" s="1958"/>
      <c r="C10" s="1958"/>
      <c r="D10" s="1958"/>
      <c r="E10" s="1958"/>
      <c r="F10" s="1958"/>
      <c r="G10" s="1958"/>
      <c r="H10" s="1958"/>
      <c r="I10" s="1960"/>
      <c r="J10" s="1960"/>
      <c r="K10" s="6"/>
      <c r="L10" s="2"/>
      <c r="M10" s="143"/>
    </row>
    <row r="11" spans="1:20" ht="17" customHeight="1">
      <c r="A11" s="857" t="s">
        <v>485</v>
      </c>
      <c r="B11" s="857"/>
      <c r="C11" s="857"/>
      <c r="D11" s="857"/>
      <c r="E11" s="857"/>
      <c r="F11" s="857"/>
      <c r="G11" s="857"/>
      <c r="H11" s="857"/>
      <c r="I11" s="858"/>
      <c r="J11" s="858"/>
      <c r="K11" s="6"/>
      <c r="L11" s="2"/>
      <c r="M11" s="143"/>
    </row>
    <row r="12" spans="1:20" ht="16" customHeight="1" thickBot="1">
      <c r="A12" s="1959"/>
      <c r="B12" s="1959"/>
      <c r="C12" s="1959"/>
      <c r="D12" s="1959"/>
      <c r="E12" s="1959"/>
      <c r="F12" s="1959"/>
      <c r="G12" s="1959"/>
      <c r="H12" s="1959"/>
      <c r="I12" s="1959"/>
      <c r="J12" s="1959"/>
      <c r="K12" s="2"/>
      <c r="L12" s="2"/>
      <c r="M12" s="2"/>
    </row>
    <row r="13" spans="1:20" s="2" customFormat="1" ht="24" customHeight="1" thickBot="1">
      <c r="A13" s="1914" t="s">
        <v>68</v>
      </c>
      <c r="B13" s="1915"/>
      <c r="C13" s="1915"/>
      <c r="D13" s="1915"/>
      <c r="E13" s="1915"/>
      <c r="F13" s="1915"/>
      <c r="G13" s="1915"/>
      <c r="H13" s="1916"/>
      <c r="M13" s="16"/>
      <c r="N13" s="16"/>
      <c r="O13" s="16"/>
      <c r="P13" s="16"/>
      <c r="Q13" s="16"/>
      <c r="R13" s="16"/>
      <c r="S13" s="16"/>
      <c r="T13" s="16"/>
    </row>
    <row r="14" spans="1:20" s="2" customFormat="1" ht="21" customHeight="1" thickBot="1">
      <c r="A14" s="1949" t="s">
        <v>235</v>
      </c>
      <c r="B14" s="1950"/>
      <c r="C14" s="1950"/>
      <c r="D14" s="1950"/>
      <c r="E14" s="1950"/>
      <c r="F14" s="1950"/>
      <c r="G14" s="1951"/>
      <c r="H14" s="114" t="s">
        <v>67</v>
      </c>
      <c r="M14" s="16"/>
      <c r="N14" s="16"/>
      <c r="O14" s="16"/>
      <c r="P14" s="16"/>
      <c r="Q14" s="16"/>
      <c r="R14" s="16"/>
      <c r="S14" s="16"/>
      <c r="T14" s="16"/>
    </row>
    <row r="15" spans="1:20" s="2" customFormat="1" ht="17" customHeight="1" thickBot="1">
      <c r="A15" s="1976" t="s">
        <v>69</v>
      </c>
      <c r="B15" s="1977"/>
      <c r="C15" s="1977"/>
      <c r="D15" s="1977"/>
      <c r="E15" s="1977"/>
      <c r="F15" s="1977"/>
      <c r="G15" s="1978"/>
      <c r="H15" s="115">
        <v>108.35</v>
      </c>
      <c r="M15" s="16"/>
      <c r="N15" s="16"/>
      <c r="O15" s="16"/>
      <c r="P15" s="16"/>
      <c r="Q15" s="16"/>
      <c r="R15" s="16"/>
      <c r="S15" s="16"/>
      <c r="T15" s="16"/>
    </row>
    <row r="16" spans="1:20" s="2" customFormat="1" ht="21" customHeight="1" thickBot="1">
      <c r="A16" s="1979" t="s">
        <v>236</v>
      </c>
      <c r="B16" s="1980"/>
      <c r="C16" s="1980"/>
      <c r="D16" s="1980"/>
      <c r="E16" s="1980"/>
      <c r="F16" s="1980"/>
      <c r="G16" s="1981"/>
      <c r="H16" s="116" t="s">
        <v>93</v>
      </c>
      <c r="M16" s="16"/>
      <c r="N16" s="16"/>
      <c r="O16" s="16"/>
      <c r="P16" s="16"/>
      <c r="Q16" s="16"/>
      <c r="R16" s="16"/>
      <c r="S16" s="16"/>
      <c r="T16" s="16"/>
    </row>
    <row r="17" spans="1:20" s="2" customFormat="1" ht="16" customHeight="1">
      <c r="A17" s="1982" t="s">
        <v>192</v>
      </c>
      <c r="B17" s="1983"/>
      <c r="C17" s="1983"/>
      <c r="D17" s="1983"/>
      <c r="E17" s="1983"/>
      <c r="F17" s="1983"/>
      <c r="G17" s="1984"/>
      <c r="H17" s="1988">
        <v>176.5</v>
      </c>
      <c r="M17" s="16"/>
      <c r="N17" s="16"/>
      <c r="O17" s="16"/>
      <c r="P17" s="16"/>
      <c r="Q17" s="16"/>
      <c r="R17" s="16"/>
      <c r="S17" s="16"/>
      <c r="T17" s="16"/>
    </row>
    <row r="18" spans="1:20" s="2" customFormat="1" ht="16" customHeight="1" thickBot="1">
      <c r="A18" s="1985"/>
      <c r="B18" s="1986"/>
      <c r="C18" s="1986"/>
      <c r="D18" s="1986"/>
      <c r="E18" s="1986"/>
      <c r="F18" s="1986"/>
      <c r="G18" s="1987"/>
      <c r="H18" s="1989"/>
      <c r="M18" s="16"/>
      <c r="N18" s="16"/>
      <c r="O18" s="16"/>
      <c r="P18" s="16"/>
      <c r="Q18" s="16"/>
      <c r="R18" s="16"/>
      <c r="S18" s="16"/>
      <c r="T18" s="16"/>
    </row>
    <row r="19" spans="1:20" s="2" customFormat="1" ht="21" customHeight="1" thickBot="1">
      <c r="A19" s="20"/>
      <c r="B19" s="20"/>
      <c r="C19" s="20"/>
      <c r="D19" s="20"/>
      <c r="E19" s="20"/>
      <c r="F19" s="20"/>
      <c r="G19" s="20"/>
      <c r="H19" s="20"/>
      <c r="M19" s="16"/>
      <c r="N19" s="16"/>
      <c r="O19" s="16"/>
      <c r="P19" s="16"/>
      <c r="Q19" s="16"/>
      <c r="R19" s="16"/>
      <c r="S19" s="16"/>
      <c r="T19" s="16"/>
    </row>
    <row r="20" spans="1:20" s="2" customFormat="1" ht="16" customHeight="1" thickBot="1">
      <c r="A20" s="1172" t="s">
        <v>314</v>
      </c>
      <c r="B20" s="1173"/>
      <c r="C20" s="1173"/>
      <c r="D20" s="1173"/>
      <c r="E20" s="1173"/>
      <c r="F20" s="1173"/>
      <c r="G20" s="1173"/>
      <c r="H20" s="1229"/>
      <c r="M20" s="16"/>
      <c r="N20" s="16"/>
      <c r="O20" s="16"/>
      <c r="P20" s="16"/>
      <c r="Q20" s="16"/>
      <c r="R20" s="16"/>
      <c r="S20" s="16"/>
      <c r="T20" s="16"/>
    </row>
    <row r="21" spans="1:20" s="2" customFormat="1" ht="16" customHeight="1">
      <c r="A21" s="1991" t="s">
        <v>38</v>
      </c>
      <c r="B21" s="1515" t="s">
        <v>42</v>
      </c>
      <c r="C21" s="1516"/>
      <c r="D21" s="1429"/>
      <c r="E21" s="1515" t="s">
        <v>42</v>
      </c>
      <c r="F21" s="1516"/>
      <c r="G21" s="1516"/>
      <c r="H21" s="1429"/>
      <c r="M21" s="16"/>
      <c r="N21" s="16"/>
      <c r="O21" s="16"/>
      <c r="P21" s="16"/>
      <c r="Q21" s="16"/>
      <c r="R21" s="16"/>
      <c r="S21" s="16"/>
      <c r="T21" s="16"/>
    </row>
    <row r="22" spans="1:20" ht="26" customHeight="1" thickBot="1">
      <c r="A22" s="1940"/>
      <c r="B22" s="1973">
        <v>40999</v>
      </c>
      <c r="C22" s="1974"/>
      <c r="D22" s="1975"/>
      <c r="E22" s="1973" t="str">
        <f>'Løntabel gældende fra'!$D$1</f>
        <v>01/04/2019</v>
      </c>
      <c r="F22" s="1974"/>
      <c r="G22" s="1974"/>
      <c r="H22" s="1975"/>
      <c r="I22" s="20"/>
      <c r="J22" s="20"/>
      <c r="K22" s="2"/>
      <c r="L22" s="2"/>
      <c r="M22" s="2"/>
    </row>
    <row r="23" spans="1:20" ht="24" customHeight="1">
      <c r="A23" s="93" t="s">
        <v>39</v>
      </c>
      <c r="B23" s="1997">
        <v>6000</v>
      </c>
      <c r="C23" s="1998"/>
      <c r="D23" s="1999"/>
      <c r="E23" s="1992">
        <f>B23+B23*'Løntabel gældende fra'!$D$7%</f>
        <v>6509.4660000000003</v>
      </c>
      <c r="F23" s="1992"/>
      <c r="G23" s="1992"/>
      <c r="H23" s="1993"/>
      <c r="I23" s="45"/>
      <c r="J23" s="45"/>
      <c r="K23" s="45"/>
      <c r="L23" s="2"/>
      <c r="M23" s="2"/>
      <c r="N23" s="2"/>
    </row>
    <row r="24" spans="1:20">
      <c r="A24" s="94" t="s">
        <v>40</v>
      </c>
      <c r="B24" s="2000">
        <v>7600</v>
      </c>
      <c r="C24" s="2001"/>
      <c r="D24" s="2002"/>
      <c r="E24" s="1995">
        <f>B24+B24*'Løntabel gældende fra'!$D$7%</f>
        <v>8245.3235999999997</v>
      </c>
      <c r="F24" s="1995"/>
      <c r="G24" s="1995"/>
      <c r="H24" s="1996"/>
      <c r="I24" s="1972"/>
      <c r="J24" s="1972"/>
      <c r="K24" s="1972"/>
      <c r="L24" s="2"/>
      <c r="M24" s="2"/>
      <c r="N24" s="2"/>
    </row>
    <row r="25" spans="1:20" ht="19.5" customHeight="1" thickBot="1">
      <c r="A25" s="95" t="s">
        <v>41</v>
      </c>
      <c r="B25" s="2005">
        <v>9000</v>
      </c>
      <c r="C25" s="2006"/>
      <c r="D25" s="2007"/>
      <c r="E25" s="2003">
        <f>B25+B25*'Løntabel gældende fra'!$D$7%</f>
        <v>9764.1990000000005</v>
      </c>
      <c r="F25" s="2003"/>
      <c r="G25" s="2003"/>
      <c r="H25" s="2004"/>
      <c r="I25" s="1972"/>
      <c r="J25" s="1972"/>
      <c r="K25" s="1972"/>
      <c r="L25" s="2"/>
      <c r="M25" s="2"/>
      <c r="N25" s="2"/>
    </row>
    <row r="26" spans="1:20" ht="14" customHeight="1" thickBot="1">
      <c r="A26" s="2"/>
      <c r="B26" s="2"/>
      <c r="C26" s="2"/>
      <c r="D26" s="2"/>
      <c r="E26" s="2"/>
      <c r="F26" s="2"/>
      <c r="G26" s="2"/>
      <c r="H26" s="2"/>
      <c r="I26" s="1994"/>
      <c r="J26" s="1994"/>
      <c r="K26" s="25"/>
      <c r="L26" s="2"/>
      <c r="M26" s="2"/>
      <c r="N26" s="2"/>
    </row>
    <row r="27" spans="1:20" ht="14" customHeight="1" thickBot="1">
      <c r="A27" s="1172" t="s">
        <v>437</v>
      </c>
      <c r="B27" s="1173"/>
      <c r="C27" s="1173"/>
      <c r="D27" s="1173"/>
      <c r="E27" s="1173"/>
      <c r="F27" s="1173"/>
      <c r="G27" s="1173"/>
      <c r="H27" s="1229"/>
      <c r="I27" s="1990"/>
      <c r="J27" s="1990"/>
      <c r="K27" s="26"/>
      <c r="L27" s="2"/>
      <c r="M27" s="2"/>
      <c r="N27" s="2"/>
    </row>
    <row r="28" spans="1:20" ht="14" customHeight="1" thickBot="1">
      <c r="A28" s="1813">
        <v>2019</v>
      </c>
      <c r="B28" s="1814"/>
      <c r="C28" s="1814"/>
      <c r="D28" s="1815"/>
      <c r="E28" s="1168" t="s">
        <v>136</v>
      </c>
      <c r="F28" s="1169"/>
      <c r="G28" s="2027" t="s">
        <v>137</v>
      </c>
      <c r="H28" s="2028"/>
      <c r="I28" s="1990"/>
      <c r="J28" s="1990"/>
      <c r="K28" s="26"/>
      <c r="L28" s="2"/>
      <c r="M28" s="2"/>
      <c r="N28" s="2"/>
    </row>
    <row r="29" spans="1:20" ht="62.25" customHeight="1" thickBot="1">
      <c r="A29" s="2029"/>
      <c r="B29" s="2030"/>
      <c r="C29" s="2030"/>
      <c r="D29" s="2031"/>
      <c r="E29" s="636" t="s">
        <v>440</v>
      </c>
      <c r="F29" s="636" t="s">
        <v>359</v>
      </c>
      <c r="G29" s="592" t="s">
        <v>440</v>
      </c>
      <c r="H29" s="637" t="s">
        <v>359</v>
      </c>
      <c r="I29" s="2"/>
      <c r="J29" s="2"/>
      <c r="K29" s="2"/>
      <c r="L29" s="2"/>
      <c r="M29" s="2"/>
    </row>
    <row r="30" spans="1:20" ht="18.75" customHeight="1">
      <c r="A30" s="2025" t="s">
        <v>138</v>
      </c>
      <c r="B30" s="2026"/>
      <c r="C30" s="2026"/>
      <c r="D30" s="671"/>
      <c r="E30" s="638">
        <v>436</v>
      </c>
      <c r="F30" s="219">
        <f>E30/24</f>
        <v>18.166666666666668</v>
      </c>
      <c r="G30" s="292">
        <v>509</v>
      </c>
      <c r="H30" s="642">
        <f>G30/24</f>
        <v>21.208333333333332</v>
      </c>
      <c r="I30" s="223"/>
      <c r="J30" s="27"/>
      <c r="K30" s="27"/>
      <c r="L30" s="2"/>
      <c r="M30" s="2"/>
    </row>
    <row r="31" spans="1:20" ht="15.75" customHeight="1">
      <c r="A31" s="2023" t="s">
        <v>362</v>
      </c>
      <c r="B31" s="2024"/>
      <c r="C31" s="2024"/>
      <c r="D31" s="670"/>
      <c r="E31" s="639">
        <f>(E30*15)/100</f>
        <v>65.400000000000006</v>
      </c>
      <c r="F31" s="220">
        <f t="shared" ref="F31:F35" si="0">E31/24</f>
        <v>2.7250000000000001</v>
      </c>
      <c r="G31" s="293">
        <f>(G30*15)/100</f>
        <v>76.349999999999994</v>
      </c>
      <c r="H31" s="643">
        <f t="shared" ref="H31:H35" si="1">G31/24</f>
        <v>3.1812499999999999</v>
      </c>
      <c r="I31" s="672"/>
      <c r="J31" s="672"/>
      <c r="K31" s="28"/>
      <c r="L31" s="27"/>
      <c r="M31" s="2"/>
      <c r="N31" s="2"/>
    </row>
    <row r="32" spans="1:20" ht="19.5" customHeight="1">
      <c r="A32" s="2023" t="s">
        <v>363</v>
      </c>
      <c r="B32" s="2024"/>
      <c r="C32" s="2024"/>
      <c r="D32" s="670"/>
      <c r="E32" s="639">
        <f>(E30*30)/100</f>
        <v>130.80000000000001</v>
      </c>
      <c r="F32" s="220">
        <f t="shared" si="0"/>
        <v>5.45</v>
      </c>
      <c r="G32" s="294">
        <f>(G30*30)/100</f>
        <v>152.69999999999999</v>
      </c>
      <c r="H32" s="643">
        <f t="shared" si="1"/>
        <v>6.3624999999999998</v>
      </c>
      <c r="I32" s="672"/>
      <c r="J32" s="672"/>
      <c r="K32" s="28"/>
      <c r="L32" s="27"/>
      <c r="M32" s="2"/>
      <c r="N32" s="2"/>
    </row>
    <row r="33" spans="1:14" ht="17" customHeight="1">
      <c r="A33" s="2023" t="s">
        <v>364</v>
      </c>
      <c r="B33" s="2024"/>
      <c r="C33" s="2024"/>
      <c r="D33" s="670"/>
      <c r="E33" s="639">
        <f>(E30*30)/100</f>
        <v>130.80000000000001</v>
      </c>
      <c r="F33" s="220">
        <f t="shared" si="0"/>
        <v>5.45</v>
      </c>
      <c r="G33" s="295">
        <f>(G30*30)/100</f>
        <v>152.69999999999999</v>
      </c>
      <c r="H33" s="643">
        <f t="shared" si="1"/>
        <v>6.3624999999999998</v>
      </c>
      <c r="I33" s="218"/>
      <c r="K33" s="52"/>
      <c r="L33" s="27"/>
      <c r="M33" s="2"/>
      <c r="N33" s="2"/>
    </row>
    <row r="34" spans="1:14" ht="17" customHeight="1">
      <c r="A34" s="2023" t="s">
        <v>365</v>
      </c>
      <c r="B34" s="2024"/>
      <c r="C34" s="2024"/>
      <c r="D34" s="670"/>
      <c r="E34" s="639">
        <f>(E30*75)/100</f>
        <v>327</v>
      </c>
      <c r="F34" s="220">
        <f t="shared" si="0"/>
        <v>13.625</v>
      </c>
      <c r="G34" s="294">
        <f>(G30*75)/100</f>
        <v>381.75</v>
      </c>
      <c r="H34" s="643">
        <f t="shared" si="1"/>
        <v>15.90625</v>
      </c>
      <c r="I34" s="218"/>
      <c r="K34" s="53"/>
      <c r="L34" s="296"/>
      <c r="M34" s="2"/>
      <c r="N34" s="2"/>
    </row>
    <row r="35" spans="1:14" ht="17" customHeight="1" thickBot="1">
      <c r="A35" s="2044" t="s">
        <v>58</v>
      </c>
      <c r="B35" s="2045"/>
      <c r="C35" s="2045"/>
      <c r="D35" s="673"/>
      <c r="E35" s="640">
        <f>E30-E34</f>
        <v>109</v>
      </c>
      <c r="F35" s="221">
        <f t="shared" si="0"/>
        <v>4.541666666666667</v>
      </c>
      <c r="G35" s="518">
        <f>G30-G34</f>
        <v>127.25</v>
      </c>
      <c r="H35" s="644">
        <f t="shared" si="1"/>
        <v>5.302083333333333</v>
      </c>
      <c r="I35" s="218"/>
      <c r="K35" s="54"/>
      <c r="L35" s="27"/>
      <c r="M35" s="2"/>
      <c r="N35" s="2"/>
    </row>
    <row r="36" spans="1:14" ht="17" customHeight="1" thickBot="1">
      <c r="A36" s="82"/>
      <c r="B36" s="82"/>
      <c r="C36" s="82"/>
      <c r="D36" s="102"/>
      <c r="E36" s="102"/>
      <c r="F36" s="102"/>
      <c r="G36" s="641"/>
      <c r="H36" s="218"/>
      <c r="I36" s="218"/>
      <c r="K36" s="55"/>
      <c r="L36" s="27"/>
      <c r="M36" s="2"/>
      <c r="N36" s="2"/>
    </row>
    <row r="37" spans="1:14" ht="17" customHeight="1" thickBot="1">
      <c r="A37" s="1172" t="s">
        <v>59</v>
      </c>
      <c r="B37" s="1173"/>
      <c r="C37" s="1173"/>
      <c r="D37" s="1173"/>
      <c r="E37" s="1173"/>
      <c r="F37" s="1173"/>
      <c r="G37" s="1173"/>
      <c r="H37" s="1229"/>
      <c r="I37" s="218"/>
      <c r="K37" s="55"/>
      <c r="L37" s="27"/>
      <c r="M37" s="2"/>
      <c r="N37" s="2"/>
    </row>
    <row r="38" spans="1:14" ht="17" customHeight="1">
      <c r="A38" s="1936">
        <v>2019</v>
      </c>
      <c r="B38" s="1937"/>
      <c r="C38" s="1937"/>
      <c r="D38" s="1937"/>
      <c r="E38" s="1937"/>
      <c r="F38" s="1937"/>
      <c r="G38" s="1938"/>
      <c r="H38" s="117" t="s">
        <v>67</v>
      </c>
      <c r="I38" s="218"/>
      <c r="K38" s="55"/>
      <c r="L38" s="27"/>
      <c r="M38" s="2"/>
      <c r="N38" s="2"/>
    </row>
    <row r="39" spans="1:14" ht="26" customHeight="1">
      <c r="A39" s="2046" t="s">
        <v>135</v>
      </c>
      <c r="B39" s="2047"/>
      <c r="C39" s="2047"/>
      <c r="D39" s="2047"/>
      <c r="E39" s="593"/>
      <c r="F39" s="593"/>
      <c r="G39" s="674"/>
      <c r="H39" s="118">
        <v>1.98</v>
      </c>
      <c r="J39" s="27"/>
      <c r="K39" s="27"/>
      <c r="L39" s="2"/>
      <c r="M39" s="2"/>
    </row>
    <row r="40" spans="1:14" ht="24" customHeight="1" thickBot="1">
      <c r="A40" s="2048" t="s">
        <v>60</v>
      </c>
      <c r="B40" s="2049"/>
      <c r="C40" s="2049"/>
      <c r="D40" s="2049"/>
      <c r="E40" s="594"/>
      <c r="F40" s="594"/>
      <c r="G40" s="675"/>
      <c r="H40" s="119">
        <v>3.56</v>
      </c>
      <c r="I40" s="669"/>
      <c r="J40" s="669"/>
      <c r="K40" s="2"/>
      <c r="L40" s="2"/>
      <c r="M40" s="2"/>
    </row>
    <row r="41" spans="1:14" ht="17.25" customHeight="1">
      <c r="A41" s="1968" t="s">
        <v>498</v>
      </c>
      <c r="B41" s="1968"/>
      <c r="C41" s="1968"/>
      <c r="D41" s="1968"/>
      <c r="E41" s="595"/>
      <c r="F41" s="595"/>
      <c r="G41" s="47"/>
      <c r="H41" s="667"/>
      <c r="I41" s="668"/>
      <c r="J41" s="669"/>
      <c r="K41" s="669"/>
      <c r="L41" s="2"/>
      <c r="M41" s="2"/>
      <c r="N41" s="2"/>
    </row>
    <row r="42" spans="1:14" ht="12.75" customHeight="1" thickBot="1">
      <c r="A42" s="833"/>
      <c r="B42" s="833"/>
      <c r="C42" s="833"/>
      <c r="D42" s="833"/>
      <c r="E42" s="833"/>
      <c r="F42" s="833"/>
      <c r="G42" s="833"/>
      <c r="H42" s="833"/>
      <c r="I42" s="668"/>
      <c r="J42" s="669"/>
      <c r="K42" s="669"/>
      <c r="L42" s="2"/>
      <c r="M42" s="2"/>
      <c r="N42" s="2"/>
    </row>
    <row r="43" spans="1:14" ht="17" customHeight="1" thickBot="1">
      <c r="A43" s="1172" t="s">
        <v>64</v>
      </c>
      <c r="B43" s="1173"/>
      <c r="C43" s="1173"/>
      <c r="D43" s="1173"/>
      <c r="E43" s="1173"/>
      <c r="F43" s="1173"/>
      <c r="G43" s="1173"/>
      <c r="H43" s="1229"/>
      <c r="I43" s="667"/>
      <c r="J43" s="667"/>
      <c r="K43" s="667"/>
    </row>
    <row r="44" spans="1:14" ht="18" customHeight="1" thickBot="1">
      <c r="A44" s="2027">
        <v>2019</v>
      </c>
      <c r="B44" s="2039"/>
      <c r="C44" s="2039"/>
      <c r="D44" s="2039"/>
      <c r="E44" s="2039"/>
      <c r="F44" s="2039"/>
      <c r="G44" s="2028"/>
      <c r="H44" s="101" t="s">
        <v>67</v>
      </c>
      <c r="I44" s="667"/>
      <c r="J44" s="667"/>
    </row>
    <row r="45" spans="1:14" ht="18.75" customHeight="1">
      <c r="A45" s="2025" t="s">
        <v>65</v>
      </c>
      <c r="B45" s="2026"/>
      <c r="C45" s="2026"/>
      <c r="D45" s="2026"/>
      <c r="E45" s="2026"/>
      <c r="F45" s="2026"/>
      <c r="G45" s="2040"/>
      <c r="H45" s="120">
        <v>871</v>
      </c>
      <c r="I45" s="833"/>
      <c r="J45" s="833"/>
    </row>
    <row r="46" spans="1:14" ht="24" customHeight="1" thickBot="1">
      <c r="A46" s="2041" t="s">
        <v>66</v>
      </c>
      <c r="B46" s="2042"/>
      <c r="C46" s="2042"/>
      <c r="D46" s="2042"/>
      <c r="E46" s="2042"/>
      <c r="F46" s="2042"/>
      <c r="G46" s="2043"/>
      <c r="H46" s="119">
        <v>580</v>
      </c>
    </row>
    <row r="47" spans="1:14" ht="19" customHeight="1">
      <c r="A47" s="2038" t="s">
        <v>237</v>
      </c>
      <c r="B47" s="2038"/>
      <c r="C47" s="2038"/>
      <c r="D47" s="2038"/>
      <c r="E47" s="2038"/>
      <c r="F47" s="2038"/>
      <c r="G47" s="2038"/>
      <c r="H47" s="2038"/>
    </row>
    <row r="48" spans="1:14" ht="17" customHeight="1">
      <c r="A48" s="676"/>
      <c r="B48" s="676"/>
      <c r="C48" s="676"/>
      <c r="D48" s="676"/>
      <c r="E48" s="676"/>
      <c r="F48" s="676"/>
      <c r="G48" s="676"/>
    </row>
    <row r="49" spans="1:16" ht="17" customHeight="1" thickBot="1">
      <c r="A49" s="833"/>
      <c r="B49" s="833"/>
      <c r="C49" s="833"/>
      <c r="D49" s="833"/>
      <c r="E49" s="833"/>
      <c r="F49" s="833"/>
      <c r="G49" s="833"/>
      <c r="H49" s="833"/>
    </row>
    <row r="50" spans="1:16" s="38" customFormat="1" ht="16" customHeight="1">
      <c r="A50" s="1293" t="s">
        <v>195</v>
      </c>
      <c r="B50" s="1294"/>
      <c r="C50" s="1294"/>
      <c r="D50" s="1294"/>
      <c r="E50" s="1294"/>
      <c r="F50" s="1294"/>
      <c r="G50" s="1294"/>
      <c r="H50" s="1295"/>
    </row>
    <row r="51" spans="1:16" ht="34.5" customHeight="1" thickBot="1">
      <c r="A51" s="1969" t="s">
        <v>358</v>
      </c>
      <c r="B51" s="1970"/>
      <c r="C51" s="1970"/>
      <c r="D51" s="1970"/>
      <c r="E51" s="1970"/>
      <c r="F51" s="1970"/>
      <c r="G51" s="1970"/>
      <c r="H51" s="1971"/>
    </row>
    <row r="52" spans="1:16" ht="17" customHeight="1">
      <c r="A52" s="2032" t="s">
        <v>27</v>
      </c>
      <c r="B52" s="2033"/>
      <c r="C52" s="2033"/>
      <c r="D52" s="2034"/>
      <c r="E52" s="2032" t="s">
        <v>28</v>
      </c>
      <c r="F52" s="2033"/>
      <c r="G52" s="2033"/>
      <c r="H52" s="2034"/>
      <c r="I52" s="833"/>
      <c r="J52" s="833"/>
    </row>
    <row r="53" spans="1:16" ht="17" customHeight="1">
      <c r="A53" s="2035">
        <v>40999</v>
      </c>
      <c r="B53" s="2036"/>
      <c r="C53" s="2036"/>
      <c r="D53" s="2037"/>
      <c r="E53" s="2053">
        <v>0</v>
      </c>
      <c r="F53" s="2054"/>
      <c r="G53" s="2054"/>
      <c r="H53" s="2055"/>
      <c r="I53" s="667"/>
      <c r="J53" s="667"/>
      <c r="K53" s="667"/>
    </row>
    <row r="54" spans="1:16" ht="18" customHeight="1">
      <c r="A54" s="2035">
        <v>41000</v>
      </c>
      <c r="B54" s="2036"/>
      <c r="C54" s="2036"/>
      <c r="D54" s="2037"/>
      <c r="E54" s="2053">
        <v>1.304</v>
      </c>
      <c r="F54" s="2054"/>
      <c r="G54" s="2054"/>
      <c r="H54" s="2055"/>
      <c r="I54" s="677"/>
      <c r="J54" s="677"/>
      <c r="K54" s="677"/>
    </row>
    <row r="55" spans="1:16" ht="14" customHeight="1">
      <c r="A55" s="2035">
        <v>41365</v>
      </c>
      <c r="B55" s="2036"/>
      <c r="C55" s="2036"/>
      <c r="D55" s="2037"/>
      <c r="E55" s="2053">
        <v>1.304</v>
      </c>
      <c r="F55" s="2054"/>
      <c r="G55" s="2054"/>
      <c r="H55" s="2055"/>
      <c r="I55" s="1952"/>
      <c r="J55" s="1953"/>
      <c r="K55" s="1953"/>
      <c r="L55" s="1953"/>
      <c r="M55" s="1953"/>
      <c r="N55" s="1953"/>
      <c r="O55" s="1953"/>
      <c r="P55" s="1953"/>
    </row>
    <row r="56" spans="1:16" ht="17" customHeight="1">
      <c r="A56" s="2035">
        <v>41730</v>
      </c>
      <c r="B56" s="2036"/>
      <c r="C56" s="2036"/>
      <c r="D56" s="2037"/>
      <c r="E56" s="2053">
        <v>1.7161999999999999</v>
      </c>
      <c r="F56" s="2054"/>
      <c r="G56" s="2054"/>
      <c r="H56" s="2055"/>
      <c r="I56" s="1952"/>
      <c r="J56" s="1953"/>
      <c r="K56" s="1953"/>
      <c r="L56" s="1953"/>
      <c r="M56" s="1953"/>
      <c r="N56" s="1953"/>
      <c r="O56" s="1953"/>
      <c r="P56" s="1953"/>
    </row>
    <row r="57" spans="1:16" ht="17" customHeight="1">
      <c r="A57" s="2062">
        <v>42095</v>
      </c>
      <c r="B57" s="2063"/>
      <c r="C57" s="2063"/>
      <c r="D57" s="2064"/>
      <c r="E57" s="2053">
        <v>2.1745000000000001</v>
      </c>
      <c r="F57" s="2054"/>
      <c r="G57" s="2054"/>
      <c r="H57" s="2055"/>
      <c r="I57" s="1952"/>
      <c r="J57" s="1953"/>
      <c r="K57" s="1953"/>
      <c r="L57" s="1953"/>
      <c r="M57" s="1953"/>
      <c r="N57" s="1953"/>
      <c r="O57" s="1953"/>
      <c r="P57" s="1953"/>
    </row>
    <row r="58" spans="1:16" ht="17" customHeight="1">
      <c r="A58" s="2035">
        <v>42461</v>
      </c>
      <c r="B58" s="2036"/>
      <c r="C58" s="2036"/>
      <c r="D58" s="2037"/>
      <c r="E58" s="2053">
        <v>2.9882</v>
      </c>
      <c r="F58" s="2054"/>
      <c r="G58" s="2054"/>
      <c r="H58" s="2055"/>
      <c r="I58" s="1952"/>
      <c r="J58" s="1953"/>
      <c r="K58" s="1953"/>
      <c r="L58" s="1953"/>
      <c r="M58" s="1953"/>
      <c r="N58" s="1953"/>
      <c r="O58" s="1953"/>
      <c r="P58" s="1953"/>
    </row>
    <row r="59" spans="1:16" ht="17" customHeight="1">
      <c r="A59" s="2056">
        <v>42826</v>
      </c>
      <c r="B59" s="2057"/>
      <c r="C59" s="2057"/>
      <c r="D59" s="2058"/>
      <c r="E59" s="2053">
        <v>4.2446000000000002</v>
      </c>
      <c r="F59" s="2054"/>
      <c r="G59" s="2054"/>
      <c r="H59" s="2055"/>
      <c r="I59" s="1952"/>
      <c r="J59" s="1953"/>
      <c r="K59" s="1953"/>
      <c r="L59" s="1953"/>
      <c r="M59" s="1953"/>
      <c r="N59" s="1953"/>
      <c r="O59" s="1953"/>
      <c r="P59" s="1953"/>
    </row>
    <row r="60" spans="1:16" ht="17" customHeight="1">
      <c r="A60" s="2035">
        <v>43070</v>
      </c>
      <c r="B60" s="2036"/>
      <c r="C60" s="2036"/>
      <c r="D60" s="2037"/>
      <c r="E60" s="2053">
        <v>5.7702999999999998</v>
      </c>
      <c r="F60" s="2054"/>
      <c r="G60" s="2054"/>
      <c r="H60" s="2055"/>
      <c r="I60" s="1952"/>
      <c r="J60" s="1953"/>
      <c r="K60" s="1953"/>
      <c r="L60" s="1953"/>
      <c r="M60" s="1953"/>
      <c r="N60" s="1953"/>
      <c r="O60" s="1953"/>
      <c r="P60" s="1953"/>
    </row>
    <row r="61" spans="1:16" ht="17" customHeight="1">
      <c r="A61" s="2035">
        <v>43191</v>
      </c>
      <c r="B61" s="2036"/>
      <c r="C61" s="2036"/>
      <c r="D61" s="2037"/>
      <c r="E61" s="2053">
        <v>6.9683000000000002</v>
      </c>
      <c r="F61" s="2054"/>
      <c r="G61" s="2054"/>
      <c r="H61" s="2055"/>
      <c r="I61" s="1952"/>
      <c r="J61" s="1953"/>
      <c r="K61" s="1953"/>
      <c r="L61" s="1953"/>
      <c r="M61" s="1953"/>
      <c r="N61" s="1953"/>
      <c r="O61" s="1953"/>
      <c r="P61" s="1953"/>
    </row>
    <row r="62" spans="1:16" ht="17" customHeight="1">
      <c r="A62" s="2035">
        <v>43374</v>
      </c>
      <c r="B62" s="2036"/>
      <c r="C62" s="2036"/>
      <c r="D62" s="2037"/>
      <c r="E62" s="2053">
        <v>7.4972000000000003</v>
      </c>
      <c r="F62" s="2054"/>
      <c r="G62" s="2054"/>
      <c r="H62" s="2055"/>
      <c r="I62" s="1952"/>
      <c r="J62" s="1953"/>
      <c r="K62" s="1953"/>
      <c r="L62" s="1953"/>
      <c r="M62" s="1953"/>
      <c r="N62" s="1953"/>
      <c r="O62" s="1953"/>
      <c r="P62" s="1953"/>
    </row>
    <row r="63" spans="1:16" ht="17" customHeight="1" thickBot="1">
      <c r="A63" s="2065">
        <v>43556</v>
      </c>
      <c r="B63" s="2066"/>
      <c r="C63" s="2066"/>
      <c r="D63" s="2067"/>
      <c r="E63" s="2050">
        <v>8.4910999999999994</v>
      </c>
      <c r="F63" s="2051"/>
      <c r="G63" s="2051"/>
      <c r="H63" s="2052"/>
      <c r="I63" s="1952"/>
      <c r="J63" s="1953"/>
      <c r="K63" s="1953"/>
      <c r="L63" s="1953"/>
      <c r="M63" s="1953"/>
      <c r="N63" s="1953"/>
      <c r="O63" s="1953"/>
      <c r="P63" s="1953"/>
    </row>
    <row r="64" spans="1:16" ht="17" customHeight="1" thickBot="1">
      <c r="A64" s="831"/>
      <c r="B64" s="831"/>
      <c r="C64" s="831"/>
      <c r="D64" s="831"/>
      <c r="E64" s="831"/>
      <c r="F64" s="831"/>
      <c r="G64" s="831"/>
      <c r="H64" s="831"/>
      <c r="I64" s="1952"/>
      <c r="J64" s="1953"/>
      <c r="K64" s="1953"/>
      <c r="L64" s="1953"/>
      <c r="M64" s="1953"/>
      <c r="N64" s="1953"/>
      <c r="O64" s="1953"/>
      <c r="P64" s="1953"/>
    </row>
    <row r="65" spans="1:16" ht="17" customHeight="1" thickBot="1">
      <c r="A65" s="2059" t="s">
        <v>75</v>
      </c>
      <c r="B65" s="2060"/>
      <c r="C65" s="2060"/>
      <c r="D65" s="2060"/>
      <c r="E65" s="2060"/>
      <c r="F65" s="2060"/>
      <c r="G65" s="2060"/>
      <c r="H65" s="2061"/>
      <c r="I65" s="1952"/>
      <c r="J65" s="1953"/>
      <c r="K65" s="1953"/>
      <c r="L65" s="1953"/>
      <c r="M65" s="1953"/>
      <c r="N65" s="1953"/>
      <c r="O65" s="1953"/>
      <c r="P65" s="1953"/>
    </row>
    <row r="66" spans="1:16" ht="17" customHeight="1" thickBot="1">
      <c r="A66" s="2008" t="s">
        <v>76</v>
      </c>
      <c r="B66" s="2009"/>
      <c r="C66" s="2009"/>
      <c r="D66" s="2009"/>
      <c r="E66" s="2009"/>
      <c r="F66" s="2009"/>
      <c r="G66" s="2009"/>
      <c r="H66" s="2010"/>
      <c r="I66" s="1952"/>
      <c r="J66" s="1953"/>
      <c r="K66" s="1953"/>
      <c r="L66" s="1953"/>
      <c r="M66" s="1953"/>
      <c r="N66" s="1953"/>
      <c r="O66" s="1953"/>
      <c r="P66" s="1953"/>
    </row>
    <row r="67" spans="1:16" ht="22" customHeight="1">
      <c r="A67" s="2014" t="s">
        <v>250</v>
      </c>
      <c r="B67" s="2015"/>
      <c r="C67" s="2015"/>
      <c r="D67" s="2015"/>
      <c r="E67" s="2015"/>
      <c r="F67" s="2015"/>
      <c r="G67" s="2015"/>
      <c r="H67" s="2016"/>
      <c r="I67" s="832"/>
      <c r="J67" s="832"/>
    </row>
    <row r="68" spans="1:16" ht="25" customHeight="1">
      <c r="A68" s="2017"/>
      <c r="B68" s="2018"/>
      <c r="C68" s="2018"/>
      <c r="D68" s="2018"/>
      <c r="E68" s="2018"/>
      <c r="F68" s="2018"/>
      <c r="G68" s="2018"/>
      <c r="H68" s="2019"/>
      <c r="I68" s="838"/>
      <c r="J68" s="838"/>
    </row>
    <row r="69" spans="1:16">
      <c r="A69" s="2017"/>
      <c r="B69" s="2018"/>
      <c r="C69" s="2018"/>
      <c r="D69" s="2018"/>
      <c r="E69" s="2018"/>
      <c r="F69" s="2018"/>
      <c r="G69" s="2018"/>
      <c r="H69" s="2019"/>
      <c r="I69" s="839"/>
      <c r="J69" s="839"/>
    </row>
    <row r="70" spans="1:16" ht="15" customHeight="1">
      <c r="A70" s="2017"/>
      <c r="B70" s="2018"/>
      <c r="C70" s="2018"/>
      <c r="D70" s="2018"/>
      <c r="E70" s="2018"/>
      <c r="F70" s="2018"/>
      <c r="G70" s="2018"/>
      <c r="H70" s="2019"/>
      <c r="I70" s="840"/>
      <c r="J70" s="840"/>
    </row>
    <row r="71" spans="1:16" ht="16" thickBot="1">
      <c r="A71" s="2020"/>
      <c r="B71" s="2021"/>
      <c r="C71" s="2021"/>
      <c r="D71" s="2021"/>
      <c r="E71" s="2021"/>
      <c r="F71" s="2021"/>
      <c r="G71" s="2021"/>
      <c r="H71" s="2022"/>
      <c r="I71" s="840"/>
      <c r="J71" s="840"/>
    </row>
    <row r="72" spans="1:16" ht="16" thickBot="1">
      <c r="A72" s="834"/>
      <c r="B72" s="834"/>
      <c r="C72" s="834"/>
      <c r="D72" s="834"/>
      <c r="E72" s="834"/>
      <c r="F72" s="834"/>
      <c r="G72" s="834"/>
      <c r="H72" s="834"/>
      <c r="I72" s="840"/>
      <c r="J72" s="840"/>
    </row>
    <row r="73" spans="1:16" ht="16" thickBot="1">
      <c r="A73" s="2008" t="s">
        <v>77</v>
      </c>
      <c r="B73" s="2009"/>
      <c r="C73" s="2009"/>
      <c r="D73" s="2009"/>
      <c r="E73" s="2009"/>
      <c r="F73" s="2009"/>
      <c r="G73" s="2009"/>
      <c r="H73" s="2010"/>
      <c r="I73" s="840"/>
      <c r="J73" s="840"/>
    </row>
    <row r="74" spans="1:16" ht="35.25" customHeight="1">
      <c r="A74" s="2014" t="s">
        <v>140</v>
      </c>
      <c r="B74" s="2015"/>
      <c r="C74" s="2015"/>
      <c r="D74" s="2015"/>
      <c r="E74" s="2015"/>
      <c r="F74" s="2015"/>
      <c r="G74" s="2015"/>
      <c r="H74" s="2016"/>
      <c r="I74" s="840"/>
      <c r="J74" s="840"/>
    </row>
    <row r="75" spans="1:16" ht="16" thickBot="1">
      <c r="A75" s="2020"/>
      <c r="B75" s="2021"/>
      <c r="C75" s="2021"/>
      <c r="D75" s="2021"/>
      <c r="E75" s="2021"/>
      <c r="F75" s="2021"/>
      <c r="G75" s="2021"/>
      <c r="H75" s="2022"/>
      <c r="I75" s="841"/>
      <c r="J75" s="841"/>
    </row>
    <row r="76" spans="1:16" ht="16" thickBot="1">
      <c r="A76" s="835"/>
      <c r="B76" s="835"/>
      <c r="C76" s="835"/>
      <c r="D76" s="835"/>
      <c r="E76" s="835"/>
      <c r="F76" s="835"/>
      <c r="G76" s="835"/>
      <c r="H76" s="835"/>
      <c r="I76" s="839"/>
      <c r="J76" s="839"/>
    </row>
    <row r="77" spans="1:16" ht="15" customHeight="1" thickBot="1">
      <c r="A77" s="2008" t="s">
        <v>78</v>
      </c>
      <c r="B77" s="2009"/>
      <c r="C77" s="2009"/>
      <c r="D77" s="2009"/>
      <c r="E77" s="2009"/>
      <c r="F77" s="2009"/>
      <c r="G77" s="2009"/>
      <c r="H77" s="2010"/>
      <c r="I77" s="840"/>
      <c r="J77" s="840"/>
    </row>
    <row r="78" spans="1:16" ht="25.5" customHeight="1" thickBot="1">
      <c r="A78" s="290" t="s">
        <v>81</v>
      </c>
      <c r="B78" s="289"/>
      <c r="C78" s="289"/>
      <c r="D78" s="289"/>
      <c r="E78" s="289"/>
      <c r="F78" s="289"/>
      <c r="G78" s="289"/>
      <c r="H78" s="291"/>
      <c r="I78" s="840"/>
      <c r="J78" s="840"/>
    </row>
    <row r="79" spans="1:16" ht="16" thickBot="1">
      <c r="A79" s="835"/>
      <c r="B79" s="835"/>
      <c r="C79" s="835"/>
      <c r="D79" s="835"/>
      <c r="E79" s="835"/>
      <c r="F79" s="835"/>
      <c r="G79" s="835"/>
      <c r="H79" s="835"/>
      <c r="I79" s="842"/>
      <c r="J79" s="842"/>
    </row>
    <row r="80" spans="1:16" ht="16" thickBot="1">
      <c r="A80" s="2008" t="s">
        <v>79</v>
      </c>
      <c r="B80" s="2009"/>
      <c r="C80" s="2009"/>
      <c r="D80" s="2009"/>
      <c r="E80" s="2009"/>
      <c r="F80" s="2009"/>
      <c r="G80" s="2009"/>
      <c r="H80" s="2010"/>
      <c r="I80" s="839"/>
      <c r="J80" s="839"/>
    </row>
    <row r="81" spans="1:10" ht="16" thickBot="1">
      <c r="A81" s="2011" t="s">
        <v>82</v>
      </c>
      <c r="B81" s="2012"/>
      <c r="C81" s="2012"/>
      <c r="D81" s="2012"/>
      <c r="E81" s="2012"/>
      <c r="F81" s="2012"/>
      <c r="G81" s="2012"/>
      <c r="H81" s="2013"/>
      <c r="I81" s="843"/>
      <c r="J81" s="843"/>
    </row>
    <row r="82" spans="1:10" ht="16" thickBot="1">
      <c r="I82" s="842"/>
      <c r="J82" s="842"/>
    </row>
    <row r="83" spans="1:10" ht="16" thickBot="1">
      <c r="A83" s="2008" t="s">
        <v>80</v>
      </c>
      <c r="B83" s="2009"/>
      <c r="C83" s="2009"/>
      <c r="D83" s="2009"/>
      <c r="E83" s="2009"/>
      <c r="F83" s="2009"/>
      <c r="G83" s="2009"/>
      <c r="H83" s="2010"/>
      <c r="I83" s="839"/>
      <c r="J83" s="839"/>
    </row>
    <row r="84" spans="1:10" ht="31.5" customHeight="1">
      <c r="A84" s="2014" t="s">
        <v>379</v>
      </c>
      <c r="B84" s="2015"/>
      <c r="C84" s="2015"/>
      <c r="D84" s="2015"/>
      <c r="E84" s="2015"/>
      <c r="F84" s="2015"/>
      <c r="G84" s="2015"/>
      <c r="H84" s="2016"/>
      <c r="I84" s="844"/>
      <c r="J84" s="843"/>
    </row>
    <row r="85" spans="1:10">
      <c r="A85" s="2017"/>
      <c r="B85" s="2018"/>
      <c r="C85" s="2018"/>
      <c r="D85" s="2018"/>
      <c r="E85" s="2018"/>
      <c r="F85" s="2018"/>
      <c r="G85" s="2018"/>
      <c r="H85" s="2019"/>
      <c r="I85" s="845"/>
      <c r="J85" s="845"/>
    </row>
    <row r="86" spans="1:10" ht="16" thickBot="1">
      <c r="A86" s="2020"/>
      <c r="B86" s="2021"/>
      <c r="C86" s="2021"/>
      <c r="D86" s="2021"/>
      <c r="E86" s="2021"/>
      <c r="F86" s="2021"/>
      <c r="G86" s="2021"/>
      <c r="H86" s="2022"/>
      <c r="I86" s="839"/>
      <c r="J86" s="839"/>
    </row>
    <row r="87" spans="1:10" ht="7" customHeight="1">
      <c r="I87" s="840"/>
      <c r="J87" s="840"/>
    </row>
    <row r="88" spans="1:10">
      <c r="I88" s="840"/>
      <c r="J88" s="840"/>
    </row>
    <row r="89" spans="1:10" ht="22" customHeight="1">
      <c r="I89" s="840"/>
      <c r="J89" s="840"/>
    </row>
  </sheetData>
  <sheetProtection sheet="1" objects="1" scenarios="1"/>
  <mergeCells count="103">
    <mergeCell ref="A77:H77"/>
    <mergeCell ref="A67:H71"/>
    <mergeCell ref="A65:H65"/>
    <mergeCell ref="A66:H66"/>
    <mergeCell ref="A73:H73"/>
    <mergeCell ref="A74:H75"/>
    <mergeCell ref="A61:D61"/>
    <mergeCell ref="E61:H61"/>
    <mergeCell ref="A55:D55"/>
    <mergeCell ref="A56:D56"/>
    <mergeCell ref="A57:D57"/>
    <mergeCell ref="A63:D63"/>
    <mergeCell ref="A62:D62"/>
    <mergeCell ref="E62:H62"/>
    <mergeCell ref="E52:H52"/>
    <mergeCell ref="E63:H63"/>
    <mergeCell ref="A58:D58"/>
    <mergeCell ref="E58:H58"/>
    <mergeCell ref="A59:D59"/>
    <mergeCell ref="E59:H59"/>
    <mergeCell ref="E53:H53"/>
    <mergeCell ref="E54:H54"/>
    <mergeCell ref="E55:H55"/>
    <mergeCell ref="E56:H56"/>
    <mergeCell ref="E57:H57"/>
    <mergeCell ref="A60:D60"/>
    <mergeCell ref="E60:H60"/>
    <mergeCell ref="A80:H80"/>
    <mergeCell ref="A83:H83"/>
    <mergeCell ref="A81:H81"/>
    <mergeCell ref="A84:H86"/>
    <mergeCell ref="I28:J28"/>
    <mergeCell ref="A31:C31"/>
    <mergeCell ref="A30:C30"/>
    <mergeCell ref="E28:F28"/>
    <mergeCell ref="G28:H28"/>
    <mergeCell ref="A28:D29"/>
    <mergeCell ref="A34:C34"/>
    <mergeCell ref="A33:C33"/>
    <mergeCell ref="A32:C32"/>
    <mergeCell ref="A52:D52"/>
    <mergeCell ref="A53:D53"/>
    <mergeCell ref="A54:D54"/>
    <mergeCell ref="A47:H47"/>
    <mergeCell ref="A43:H43"/>
    <mergeCell ref="A44:G44"/>
    <mergeCell ref="A45:G45"/>
    <mergeCell ref="A46:G46"/>
    <mergeCell ref="A35:C35"/>
    <mergeCell ref="A39:D39"/>
    <mergeCell ref="A40:D40"/>
    <mergeCell ref="I27:J27"/>
    <mergeCell ref="A21:A22"/>
    <mergeCell ref="I24:J25"/>
    <mergeCell ref="E23:H23"/>
    <mergeCell ref="I26:J26"/>
    <mergeCell ref="B22:D22"/>
    <mergeCell ref="E24:H24"/>
    <mergeCell ref="B23:D23"/>
    <mergeCell ref="B24:D24"/>
    <mergeCell ref="A27:H27"/>
    <mergeCell ref="E25:H25"/>
    <mergeCell ref="B25:D25"/>
    <mergeCell ref="I55:P66"/>
    <mergeCell ref="A2:J2"/>
    <mergeCell ref="I1:J1"/>
    <mergeCell ref="I3:J9"/>
    <mergeCell ref="A10:H10"/>
    <mergeCell ref="A12:J12"/>
    <mergeCell ref="I10:J10"/>
    <mergeCell ref="D5:E6"/>
    <mergeCell ref="D7:E7"/>
    <mergeCell ref="D8:E8"/>
    <mergeCell ref="D9:E9"/>
    <mergeCell ref="B4:H4"/>
    <mergeCell ref="F9:G9"/>
    <mergeCell ref="B7:C7"/>
    <mergeCell ref="A41:D41"/>
    <mergeCell ref="A50:H50"/>
    <mergeCell ref="A51:H51"/>
    <mergeCell ref="K24:K25"/>
    <mergeCell ref="E21:H21"/>
    <mergeCell ref="E22:H22"/>
    <mergeCell ref="A15:G15"/>
    <mergeCell ref="A16:G16"/>
    <mergeCell ref="A17:G18"/>
    <mergeCell ref="H17:H18"/>
    <mergeCell ref="A37:H37"/>
    <mergeCell ref="A38:G38"/>
    <mergeCell ref="A5:A6"/>
    <mergeCell ref="B5:C6"/>
    <mergeCell ref="H5:H6"/>
    <mergeCell ref="F5:G6"/>
    <mergeCell ref="F8:G8"/>
    <mergeCell ref="A3:H3"/>
    <mergeCell ref="A1:H1"/>
    <mergeCell ref="F7:G7"/>
    <mergeCell ref="B8:C8"/>
    <mergeCell ref="B9:C9"/>
    <mergeCell ref="A20:H20"/>
    <mergeCell ref="B21:D21"/>
    <mergeCell ref="A13:H13"/>
    <mergeCell ref="A14:G14"/>
  </mergeCells>
  <phoneticPr fontId="6" type="noConversion"/>
  <pageMargins left="0.70866141732283472" right="0.70866141732283472" top="0.74803149606299213" bottom="0.74803149606299213" header="0.31496062992125984" footer="0.31496062992125984"/>
  <pageSetup paperSize="9" scale="97" fitToHeight="0" orientation="portrait" r:id="rId1"/>
  <headerFooter>
    <oddFooter>&amp;C&amp;"Times New Roman,Normal"&amp;8&amp;K000000Generelle satser&amp;R&amp;"Times New Roman,Normal"&amp;8&amp;K000000Side &amp;P af i alt &amp;N sider</oddFooter>
  </headerFooter>
  <rowBreaks count="2" manualBreakCount="2">
    <brk id="35" max="16383" man="1"/>
    <brk id="63"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O158"/>
  <sheetViews>
    <sheetView view="pageBreakPreview" topLeftCell="A14" workbookViewId="0">
      <selection activeCell="L38" sqref="L38"/>
    </sheetView>
  </sheetViews>
  <sheetFormatPr baseColWidth="10" defaultColWidth="8.83203125" defaultRowHeight="15"/>
  <cols>
    <col min="1" max="1" width="8.83203125" style="13"/>
    <col min="2" max="2" width="8.83203125" style="126" customWidth="1"/>
    <col min="3" max="3" width="12.33203125" style="13" hidden="1" customWidth="1"/>
    <col min="4" max="4" width="12.33203125" style="12" bestFit="1" customWidth="1"/>
    <col min="5" max="5" width="12.83203125" style="12" hidden="1" customWidth="1"/>
    <col min="6" max="6" width="12.33203125" style="12" bestFit="1" customWidth="1"/>
    <col min="7" max="7" width="12.83203125" style="12" hidden="1" customWidth="1"/>
    <col min="8" max="8" width="12.33203125" style="12" bestFit="1" customWidth="1"/>
    <col min="9" max="9" width="12.83203125" style="12" hidden="1" customWidth="1"/>
    <col min="10" max="10" width="12.33203125" style="12" bestFit="1" customWidth="1"/>
    <col min="11" max="11" width="15" style="12" hidden="1" customWidth="1"/>
    <col min="12" max="12" width="12.33203125" style="12" bestFit="1" customWidth="1"/>
    <col min="13" max="13" width="9.6640625" hidden="1" customWidth="1"/>
    <col min="14" max="14" width="20" style="14" hidden="1" customWidth="1"/>
    <col min="15" max="15" width="13.83203125" style="74" customWidth="1"/>
  </cols>
  <sheetData>
    <row r="1" spans="1:15" ht="40" customHeight="1" thickBot="1">
      <c r="A1" s="2073" t="str">
        <f>"Månedslønninger pr. "&amp;'Løntabel gældende fra'!D1&amp;" statens takster"</f>
        <v>Månedslønninger pr. 01/04/2019 statens takster</v>
      </c>
      <c r="B1" s="2074"/>
      <c r="C1" s="2074"/>
      <c r="D1" s="2074"/>
      <c r="E1" s="2074"/>
      <c r="F1" s="2074"/>
      <c r="G1" s="2074"/>
      <c r="H1" s="2074"/>
      <c r="I1" s="2074"/>
      <c r="J1" s="2074"/>
      <c r="K1" s="2074"/>
      <c r="L1" s="2074"/>
      <c r="M1" s="2074"/>
      <c r="N1" s="2074"/>
      <c r="O1" s="2075"/>
    </row>
    <row r="2" spans="1:15" ht="18" customHeight="1">
      <c r="A2" s="2076" t="s">
        <v>376</v>
      </c>
      <c r="B2" s="2077"/>
      <c r="C2" s="2077"/>
      <c r="D2" s="2077"/>
      <c r="E2" s="2077"/>
      <c r="F2" s="2077"/>
      <c r="G2" s="2077"/>
      <c r="H2" s="2077"/>
      <c r="I2" s="2077"/>
      <c r="J2" s="2077"/>
      <c r="K2" s="2077"/>
      <c r="L2" s="2077"/>
      <c r="M2" s="2077"/>
      <c r="N2" s="2077"/>
      <c r="O2" s="2078"/>
    </row>
    <row r="3" spans="1:15" ht="18" customHeight="1">
      <c r="A3" s="2079" t="s">
        <v>377</v>
      </c>
      <c r="B3" s="2080"/>
      <c r="C3" s="2080"/>
      <c r="D3" s="2080"/>
      <c r="E3" s="2080"/>
      <c r="F3" s="2080"/>
      <c r="G3" s="2080"/>
      <c r="H3" s="2080"/>
      <c r="I3" s="2080"/>
      <c r="J3" s="2080"/>
      <c r="K3" s="2080"/>
      <c r="L3" s="2080"/>
      <c r="M3" s="2080"/>
      <c r="N3" s="2080"/>
      <c r="O3" s="2081"/>
    </row>
    <row r="4" spans="1:15" ht="33.75" customHeight="1" thickBot="1">
      <c r="A4" s="2082"/>
      <c r="B4" s="2083"/>
      <c r="C4" s="2083"/>
      <c r="D4" s="2083"/>
      <c r="E4" s="2083"/>
      <c r="F4" s="2083"/>
      <c r="G4" s="2083"/>
      <c r="H4" s="2083"/>
      <c r="I4" s="2083"/>
      <c r="J4" s="2083"/>
      <c r="K4" s="2083"/>
      <c r="L4" s="2083"/>
      <c r="M4" s="2083"/>
      <c r="N4" s="2083"/>
      <c r="O4" s="2084"/>
    </row>
    <row r="5" spans="1:15" s="33" customFormat="1" ht="26" customHeight="1" thickBot="1">
      <c r="A5" s="378" t="s">
        <v>57</v>
      </c>
      <c r="B5" s="405"/>
      <c r="C5" s="407" t="s">
        <v>110</v>
      </c>
      <c r="D5" s="378" t="s">
        <v>52</v>
      </c>
      <c r="E5" s="405" t="s">
        <v>111</v>
      </c>
      <c r="F5" s="406" t="s">
        <v>53</v>
      </c>
      <c r="G5" s="407" t="s">
        <v>112</v>
      </c>
      <c r="H5" s="378" t="s">
        <v>54</v>
      </c>
      <c r="I5" s="405" t="s">
        <v>113</v>
      </c>
      <c r="J5" s="406" t="s">
        <v>55</v>
      </c>
      <c r="K5" s="407" t="s">
        <v>114</v>
      </c>
      <c r="L5" s="378" t="s">
        <v>56</v>
      </c>
      <c r="M5" s="408"/>
      <c r="N5" s="409" t="s">
        <v>115</v>
      </c>
      <c r="O5" s="410" t="s">
        <v>116</v>
      </c>
    </row>
    <row r="6" spans="1:15" ht="20" customHeight="1">
      <c r="A6" s="2071">
        <v>1</v>
      </c>
      <c r="B6" s="392" t="s">
        <v>97</v>
      </c>
      <c r="C6" s="207">
        <v>184817</v>
      </c>
      <c r="D6" s="200">
        <f>ROUND((C6*(1+'Løntabel gældende fra'!$D$7%)),0)</f>
        <v>200510</v>
      </c>
      <c r="E6" s="208">
        <v>188265</v>
      </c>
      <c r="F6" s="209">
        <f>ROUND((E6*(1+'Løntabel gældende fra'!$D$7%)),0)</f>
        <v>204251</v>
      </c>
      <c r="G6" s="207">
        <v>190650</v>
      </c>
      <c r="H6" s="200">
        <f>ROUND((G6*(1+'Løntabel gældende fra'!$D$7%)),0)</f>
        <v>206838</v>
      </c>
      <c r="I6" s="208">
        <v>194098</v>
      </c>
      <c r="J6" s="209">
        <f>ROUND((I6*(1+'Løntabel gældende fra'!$D$7%)),0)</f>
        <v>210579</v>
      </c>
      <c r="K6" s="207">
        <v>196484</v>
      </c>
      <c r="L6" s="200">
        <f>ROUND((K6*(1+'Løntabel gældende fra'!$D$7%)),0)</f>
        <v>213168</v>
      </c>
      <c r="M6" s="433"/>
      <c r="N6" s="413">
        <v>171917.38</v>
      </c>
      <c r="O6" s="214">
        <f>ROUND(N6*(1+'Løntabel gældende fra'!$D$7%),2)</f>
        <v>186515.06</v>
      </c>
    </row>
    <row r="7" spans="1:15">
      <c r="A7" s="2069"/>
      <c r="B7" s="417" t="s">
        <v>98</v>
      </c>
      <c r="C7" s="422">
        <f>C6/12</f>
        <v>15401.416666666666</v>
      </c>
      <c r="D7" s="429">
        <f t="shared" ref="D7:L7" si="0">ROUND(D6/12,2)</f>
        <v>16709.169999999998</v>
      </c>
      <c r="E7" s="426">
        <f>E6/12</f>
        <v>15688.75</v>
      </c>
      <c r="F7" s="411">
        <f t="shared" si="0"/>
        <v>17020.919999999998</v>
      </c>
      <c r="G7" s="422">
        <f>G6/12</f>
        <v>15887.5</v>
      </c>
      <c r="H7" s="429">
        <f t="shared" si="0"/>
        <v>17236.5</v>
      </c>
      <c r="I7" s="426">
        <f>I6/12</f>
        <v>16174.833333333334</v>
      </c>
      <c r="J7" s="411">
        <f t="shared" si="0"/>
        <v>17548.25</v>
      </c>
      <c r="K7" s="422">
        <f>K6/12</f>
        <v>16373.666666666666</v>
      </c>
      <c r="L7" s="429">
        <f t="shared" si="0"/>
        <v>17764</v>
      </c>
      <c r="M7" s="434"/>
      <c r="N7" s="412"/>
      <c r="O7" s="414">
        <f>ROUND(O6/12,2)</f>
        <v>15542.92</v>
      </c>
    </row>
    <row r="8" spans="1:15" ht="16" thickBot="1">
      <c r="A8" s="2070"/>
      <c r="B8" s="394" t="s">
        <v>233</v>
      </c>
      <c r="C8" s="204"/>
      <c r="D8" s="205">
        <f>ROUND(D7/160.33,2)</f>
        <v>104.22</v>
      </c>
      <c r="E8" s="206"/>
      <c r="F8" s="205">
        <f t="shared" ref="F8:O8" si="1">ROUND(F7/160.33,2)</f>
        <v>106.16</v>
      </c>
      <c r="G8" s="205">
        <f t="shared" si="1"/>
        <v>99.09</v>
      </c>
      <c r="H8" s="205">
        <f t="shared" si="1"/>
        <v>107.51</v>
      </c>
      <c r="I8" s="205">
        <f t="shared" si="1"/>
        <v>100.88</v>
      </c>
      <c r="J8" s="205">
        <f t="shared" si="1"/>
        <v>109.45</v>
      </c>
      <c r="K8" s="205">
        <f t="shared" si="1"/>
        <v>102.12</v>
      </c>
      <c r="L8" s="205">
        <f t="shared" si="1"/>
        <v>110.8</v>
      </c>
      <c r="M8" s="205">
        <f t="shared" si="1"/>
        <v>0</v>
      </c>
      <c r="N8" s="205">
        <f t="shared" si="1"/>
        <v>0</v>
      </c>
      <c r="O8" s="205">
        <f t="shared" si="1"/>
        <v>96.94</v>
      </c>
    </row>
    <row r="9" spans="1:15">
      <c r="A9" s="2071">
        <v>2</v>
      </c>
      <c r="B9" s="392" t="s">
        <v>97</v>
      </c>
      <c r="C9" s="207">
        <v>187655</v>
      </c>
      <c r="D9" s="200">
        <f>ROUND((C9*(1+'Løntabel gældende fra'!$D$7%)),0)</f>
        <v>203589</v>
      </c>
      <c r="E9" s="208">
        <v>191187</v>
      </c>
      <c r="F9" s="209">
        <f>ROUND((E9*(1+'Løntabel gældende fra'!$D$7%)),0)</f>
        <v>207421</v>
      </c>
      <c r="G9" s="207">
        <v>193632</v>
      </c>
      <c r="H9" s="200">
        <f>ROUND((G9*(1+'Løntabel gældende fra'!$D$7%)),0)</f>
        <v>210073</v>
      </c>
      <c r="I9" s="208">
        <v>197161</v>
      </c>
      <c r="J9" s="209">
        <f>ROUND((I9*(1+'Løntabel gældende fra'!$D$7%)),0)</f>
        <v>213902</v>
      </c>
      <c r="K9" s="207">
        <v>199607</v>
      </c>
      <c r="L9" s="200">
        <f>ROUND((K9*(1+'Løntabel gældende fra'!$D$7%)),0)</f>
        <v>216556</v>
      </c>
      <c r="M9" s="435"/>
      <c r="N9" s="413">
        <v>174577.34</v>
      </c>
      <c r="O9" s="214">
        <f>ROUND(N9*(1+'Løntabel gældende fra'!$D$7%),2)</f>
        <v>189400.88</v>
      </c>
    </row>
    <row r="10" spans="1:15">
      <c r="A10" s="2069"/>
      <c r="B10" s="417" t="s">
        <v>98</v>
      </c>
      <c r="C10" s="422"/>
      <c r="D10" s="429">
        <f>ROUND(D9/12,2)</f>
        <v>16965.75</v>
      </c>
      <c r="E10" s="426"/>
      <c r="F10" s="411">
        <f>ROUND(F9/12,2)</f>
        <v>17285.080000000002</v>
      </c>
      <c r="G10" s="422">
        <f>G9/12</f>
        <v>16136</v>
      </c>
      <c r="H10" s="429">
        <f>ROUND(H9/12,2)</f>
        <v>17506.080000000002</v>
      </c>
      <c r="I10" s="426">
        <f>I9/12</f>
        <v>16430.083333333332</v>
      </c>
      <c r="J10" s="411">
        <f>ROUND(J9/12,2)</f>
        <v>17825.169999999998</v>
      </c>
      <c r="K10" s="422">
        <f>K9/12</f>
        <v>16633.916666666668</v>
      </c>
      <c r="L10" s="429">
        <f>ROUND(L9/12,2)</f>
        <v>18046.330000000002</v>
      </c>
      <c r="M10" s="434"/>
      <c r="N10" s="412"/>
      <c r="O10" s="414">
        <f>ROUND(O9/12,2)</f>
        <v>15783.41</v>
      </c>
    </row>
    <row r="11" spans="1:15" ht="16" thickBot="1">
      <c r="A11" s="2070"/>
      <c r="B11" s="394" t="s">
        <v>233</v>
      </c>
      <c r="C11" s="204">
        <f>C9/12</f>
        <v>15637.916666666666</v>
      </c>
      <c r="D11" s="205">
        <f>ROUND(D10/160.33,2)</f>
        <v>105.82</v>
      </c>
      <c r="E11" s="206">
        <f>E9/12</f>
        <v>15932.25</v>
      </c>
      <c r="F11" s="205">
        <f t="shared" ref="F11:O11" si="2">ROUND(F10/160.33,2)</f>
        <v>107.81</v>
      </c>
      <c r="G11" s="205">
        <f t="shared" si="2"/>
        <v>100.64</v>
      </c>
      <c r="H11" s="205">
        <f t="shared" si="2"/>
        <v>109.19</v>
      </c>
      <c r="I11" s="205">
        <f t="shared" si="2"/>
        <v>102.48</v>
      </c>
      <c r="J11" s="205">
        <f t="shared" si="2"/>
        <v>111.18</v>
      </c>
      <c r="K11" s="205">
        <f t="shared" si="2"/>
        <v>103.75</v>
      </c>
      <c r="L11" s="205">
        <f t="shared" si="2"/>
        <v>112.56</v>
      </c>
      <c r="M11" s="205">
        <f t="shared" si="2"/>
        <v>0</v>
      </c>
      <c r="N11" s="205">
        <f t="shared" si="2"/>
        <v>0</v>
      </c>
      <c r="O11" s="205">
        <f t="shared" si="2"/>
        <v>98.44</v>
      </c>
    </row>
    <row r="12" spans="1:15">
      <c r="A12" s="2071">
        <v>3</v>
      </c>
      <c r="B12" s="392" t="s">
        <v>97</v>
      </c>
      <c r="C12" s="207">
        <v>190571</v>
      </c>
      <c r="D12" s="200">
        <f>ROUND((C12*(1+'Løntabel gældende fra'!$D$7%)),0)</f>
        <v>206753</v>
      </c>
      <c r="E12" s="208">
        <v>194187</v>
      </c>
      <c r="F12" s="209">
        <f>ROUND((E12*(1+'Løntabel gældende fra'!$D$7%)),0)</f>
        <v>210676</v>
      </c>
      <c r="G12" s="207">
        <v>196692</v>
      </c>
      <c r="H12" s="200">
        <f>ROUND((G12*(1+'Løntabel gældende fra'!$D$7%)),0)</f>
        <v>213393</v>
      </c>
      <c r="I12" s="208">
        <v>200308</v>
      </c>
      <c r="J12" s="209">
        <f>ROUND((I12*(1+'Løntabel gældende fra'!$D$7%)),0)</f>
        <v>217316</v>
      </c>
      <c r="K12" s="207">
        <v>202814</v>
      </c>
      <c r="L12" s="200">
        <f>ROUND((K12*(1+'Løntabel gældende fra'!$D$7%)),0)</f>
        <v>220035</v>
      </c>
      <c r="M12" s="435"/>
      <c r="N12" s="413">
        <v>177309.48</v>
      </c>
      <c r="O12" s="214">
        <f>ROUND(N12*(1+'Løntabel gældende fra'!$D$7%),2)</f>
        <v>192365.01</v>
      </c>
    </row>
    <row r="13" spans="1:15">
      <c r="A13" s="2069"/>
      <c r="B13" s="417" t="s">
        <v>98</v>
      </c>
      <c r="C13" s="422">
        <f>C12/12</f>
        <v>15880.916666666666</v>
      </c>
      <c r="D13" s="429">
        <f>ROUND(D12/12,2)</f>
        <v>17229.419999999998</v>
      </c>
      <c r="E13" s="426">
        <f>E12/12</f>
        <v>16182.25</v>
      </c>
      <c r="F13" s="411">
        <f>ROUND(F12/12,2)</f>
        <v>17556.330000000002</v>
      </c>
      <c r="G13" s="422">
        <f>G12/12</f>
        <v>16391</v>
      </c>
      <c r="H13" s="429">
        <f>ROUND(H12/12,2)</f>
        <v>17782.75</v>
      </c>
      <c r="I13" s="426">
        <f>I12/12</f>
        <v>16692.333333333332</v>
      </c>
      <c r="J13" s="411">
        <f>ROUND(J12/12,2)</f>
        <v>18109.669999999998</v>
      </c>
      <c r="K13" s="422">
        <f>K12/12</f>
        <v>16901.166666666668</v>
      </c>
      <c r="L13" s="429">
        <f>ROUND(L12/12,2)</f>
        <v>18336.25</v>
      </c>
      <c r="M13" s="434"/>
      <c r="N13" s="412"/>
      <c r="O13" s="414">
        <f>ROUND(O12/12,2)</f>
        <v>16030.42</v>
      </c>
    </row>
    <row r="14" spans="1:15" ht="16" thickBot="1">
      <c r="A14" s="2070"/>
      <c r="B14" s="394" t="s">
        <v>233</v>
      </c>
      <c r="C14" s="423"/>
      <c r="D14" s="205">
        <f>ROUND(D13/160.33,2)</f>
        <v>107.46</v>
      </c>
      <c r="E14" s="427"/>
      <c r="F14" s="205">
        <f t="shared" ref="F14:O14" si="3">ROUND(F13/160.33,2)</f>
        <v>109.5</v>
      </c>
      <c r="G14" s="205">
        <f t="shared" si="3"/>
        <v>102.23</v>
      </c>
      <c r="H14" s="205">
        <f t="shared" si="3"/>
        <v>110.91</v>
      </c>
      <c r="I14" s="205">
        <f t="shared" si="3"/>
        <v>104.11</v>
      </c>
      <c r="J14" s="205">
        <f t="shared" si="3"/>
        <v>112.95</v>
      </c>
      <c r="K14" s="205">
        <f t="shared" si="3"/>
        <v>105.41</v>
      </c>
      <c r="L14" s="205">
        <f t="shared" si="3"/>
        <v>114.37</v>
      </c>
      <c r="M14" s="205">
        <f t="shared" si="3"/>
        <v>0</v>
      </c>
      <c r="N14" s="205">
        <f t="shared" si="3"/>
        <v>0</v>
      </c>
      <c r="O14" s="205">
        <f t="shared" si="3"/>
        <v>99.98</v>
      </c>
    </row>
    <row r="15" spans="1:15">
      <c r="A15" s="2071">
        <v>4</v>
      </c>
      <c r="B15" s="392" t="s">
        <v>97</v>
      </c>
      <c r="C15" s="207">
        <v>193567</v>
      </c>
      <c r="D15" s="200">
        <f>ROUND((C15*(1+'Løntabel gældende fra'!$D$7%)),0)</f>
        <v>210003</v>
      </c>
      <c r="E15" s="208">
        <v>197274</v>
      </c>
      <c r="F15" s="209">
        <f>ROUND((E15*(1+'Løntabel gældende fra'!$D$7%)),0)</f>
        <v>214025</v>
      </c>
      <c r="G15" s="207">
        <v>199840</v>
      </c>
      <c r="H15" s="200">
        <f>ROUND((G15*(1+'Løntabel gældende fra'!$D$7%)),0)</f>
        <v>216809</v>
      </c>
      <c r="I15" s="208">
        <v>203545</v>
      </c>
      <c r="J15" s="209">
        <f>ROUND((I15*(1+'Løntabel gældende fra'!$D$7%)),0)</f>
        <v>220828</v>
      </c>
      <c r="K15" s="207">
        <v>206110</v>
      </c>
      <c r="L15" s="200">
        <f>ROUND((K15*(1+'Løntabel gældende fra'!$D$7%)),0)</f>
        <v>223611</v>
      </c>
      <c r="M15" s="435"/>
      <c r="N15" s="413">
        <v>180117.41</v>
      </c>
      <c r="O15" s="214">
        <f>ROUND(N15*(1+'Løntabel gældende fra'!$D$7%),2)</f>
        <v>195411.36</v>
      </c>
    </row>
    <row r="16" spans="1:15">
      <c r="A16" s="2069"/>
      <c r="B16" s="417" t="s">
        <v>98</v>
      </c>
      <c r="C16" s="422">
        <f>C15/12</f>
        <v>16130.583333333334</v>
      </c>
      <c r="D16" s="429">
        <f>ROUND(D15/12,2)</f>
        <v>17500.25</v>
      </c>
      <c r="E16" s="426">
        <f>E15/12</f>
        <v>16439.5</v>
      </c>
      <c r="F16" s="411">
        <f>ROUND(F15/12,2)</f>
        <v>17835.419999999998</v>
      </c>
      <c r="G16" s="422">
        <f>G15/12</f>
        <v>16653.333333333332</v>
      </c>
      <c r="H16" s="429">
        <f>ROUND(H15/12,2)</f>
        <v>18067.419999999998</v>
      </c>
      <c r="I16" s="426">
        <f>I15/12</f>
        <v>16962.083333333332</v>
      </c>
      <c r="J16" s="411">
        <f>ROUND(J15/12,2)</f>
        <v>18402.330000000002</v>
      </c>
      <c r="K16" s="422">
        <f>K15/12</f>
        <v>17175.833333333332</v>
      </c>
      <c r="L16" s="429">
        <f>ROUND(L15/12,2)</f>
        <v>18634.25</v>
      </c>
      <c r="M16" s="434"/>
      <c r="N16" s="412"/>
      <c r="O16" s="414">
        <f>ROUND(O15/12,2)</f>
        <v>16284.28</v>
      </c>
    </row>
    <row r="17" spans="1:15" ht="16" thickBot="1">
      <c r="A17" s="2070"/>
      <c r="B17" s="394" t="s">
        <v>233</v>
      </c>
      <c r="C17" s="423"/>
      <c r="D17" s="205">
        <f>ROUND(D16/160.33,2)</f>
        <v>109.15</v>
      </c>
      <c r="E17" s="427"/>
      <c r="F17" s="205">
        <f t="shared" ref="F17:O17" si="4">ROUND(F16/160.33,2)</f>
        <v>111.24</v>
      </c>
      <c r="G17" s="205">
        <f t="shared" si="4"/>
        <v>103.87</v>
      </c>
      <c r="H17" s="205">
        <f t="shared" si="4"/>
        <v>112.69</v>
      </c>
      <c r="I17" s="205">
        <f t="shared" si="4"/>
        <v>105.79</v>
      </c>
      <c r="J17" s="205">
        <f t="shared" si="4"/>
        <v>114.78</v>
      </c>
      <c r="K17" s="205">
        <f t="shared" si="4"/>
        <v>107.13</v>
      </c>
      <c r="L17" s="205">
        <f t="shared" si="4"/>
        <v>116.22</v>
      </c>
      <c r="M17" s="205">
        <f t="shared" si="4"/>
        <v>0</v>
      </c>
      <c r="N17" s="205">
        <f t="shared" si="4"/>
        <v>0</v>
      </c>
      <c r="O17" s="205">
        <f t="shared" si="4"/>
        <v>101.57</v>
      </c>
    </row>
    <row r="18" spans="1:15">
      <c r="A18" s="2071">
        <v>5</v>
      </c>
      <c r="B18" s="392" t="s">
        <v>97</v>
      </c>
      <c r="C18" s="207">
        <v>196645</v>
      </c>
      <c r="D18" s="200">
        <f>ROUND((C18*(1+'Løntabel gældende fra'!$D$7%)),0)</f>
        <v>213342</v>
      </c>
      <c r="E18" s="208">
        <v>200442</v>
      </c>
      <c r="F18" s="209">
        <f>ROUND((E18*(1+'Løntabel gældende fra'!$D$7%)),0)</f>
        <v>217462</v>
      </c>
      <c r="G18" s="207">
        <v>203072</v>
      </c>
      <c r="H18" s="200">
        <f>ROUND((G18*(1+'Løntabel gældende fra'!$D$7%)),0)</f>
        <v>220315</v>
      </c>
      <c r="I18" s="208">
        <v>206869</v>
      </c>
      <c r="J18" s="209">
        <f>ROUND((I18*(1+'Løntabel gældende fra'!$D$7%)),0)</f>
        <v>224434</v>
      </c>
      <c r="K18" s="207">
        <v>209497</v>
      </c>
      <c r="L18" s="200">
        <f>ROUND((K18*(1+'Løntabel gældende fra'!$D$7%)),0)</f>
        <v>227286</v>
      </c>
      <c r="M18" s="435"/>
      <c r="N18" s="413">
        <v>183001.14</v>
      </c>
      <c r="O18" s="214">
        <f>ROUND(N18*(1+'Løntabel gældende fra'!$D$7%),2)</f>
        <v>198539.95</v>
      </c>
    </row>
    <row r="19" spans="1:15">
      <c r="A19" s="2069"/>
      <c r="B19" s="417" t="s">
        <v>98</v>
      </c>
      <c r="C19" s="422">
        <f>C18/12</f>
        <v>16387.083333333332</v>
      </c>
      <c r="D19" s="429">
        <f>ROUND(D18/12,2)</f>
        <v>17778.5</v>
      </c>
      <c r="E19" s="426">
        <f>E18/12</f>
        <v>16703.5</v>
      </c>
      <c r="F19" s="411">
        <f>ROUND(F18/12,2)</f>
        <v>18121.830000000002</v>
      </c>
      <c r="G19" s="422">
        <f>G18/12</f>
        <v>16922.666666666668</v>
      </c>
      <c r="H19" s="429">
        <f>ROUND(H18/12,2)</f>
        <v>18359.580000000002</v>
      </c>
      <c r="I19" s="426">
        <f>I18/12</f>
        <v>17239.083333333332</v>
      </c>
      <c r="J19" s="411">
        <f>ROUND(J18/12,2)</f>
        <v>18702.830000000002</v>
      </c>
      <c r="K19" s="422">
        <f>K18/12</f>
        <v>17458.083333333332</v>
      </c>
      <c r="L19" s="429">
        <f>ROUND(L18/12,2)</f>
        <v>18940.5</v>
      </c>
      <c r="M19" s="434"/>
      <c r="N19" s="412"/>
      <c r="O19" s="414">
        <f>ROUND(O18/12,2)</f>
        <v>16545</v>
      </c>
    </row>
    <row r="20" spans="1:15" ht="16" thickBot="1">
      <c r="A20" s="2070"/>
      <c r="B20" s="394" t="s">
        <v>233</v>
      </c>
      <c r="C20" s="423"/>
      <c r="D20" s="205">
        <f>ROUND(D19/160.33,2)</f>
        <v>110.89</v>
      </c>
      <c r="E20" s="427"/>
      <c r="F20" s="205">
        <f t="shared" ref="F20:O20" si="5">ROUND(F19/160.33,2)</f>
        <v>113.03</v>
      </c>
      <c r="G20" s="205">
        <f t="shared" si="5"/>
        <v>105.55</v>
      </c>
      <c r="H20" s="205">
        <f t="shared" si="5"/>
        <v>114.51</v>
      </c>
      <c r="I20" s="205">
        <f t="shared" si="5"/>
        <v>107.52</v>
      </c>
      <c r="J20" s="205">
        <f t="shared" si="5"/>
        <v>116.65</v>
      </c>
      <c r="K20" s="205">
        <f t="shared" si="5"/>
        <v>108.89</v>
      </c>
      <c r="L20" s="205">
        <f t="shared" si="5"/>
        <v>118.13</v>
      </c>
      <c r="M20" s="205">
        <f t="shared" si="5"/>
        <v>0</v>
      </c>
      <c r="N20" s="205">
        <f t="shared" si="5"/>
        <v>0</v>
      </c>
      <c r="O20" s="205">
        <f t="shared" si="5"/>
        <v>103.19</v>
      </c>
    </row>
    <row r="21" spans="1:15">
      <c r="A21" s="2068">
        <v>6</v>
      </c>
      <c r="B21" s="198" t="s">
        <v>97</v>
      </c>
      <c r="C21" s="199">
        <v>199810</v>
      </c>
      <c r="D21" s="203">
        <f>ROUND((C21*(1+'Løntabel gældende fra'!$D$7%)),0)</f>
        <v>216776</v>
      </c>
      <c r="E21" s="201">
        <v>203700</v>
      </c>
      <c r="F21" s="202">
        <f>ROUND((E21*(1+'Løntabel gældende fra'!$D$7%)),0)</f>
        <v>220996</v>
      </c>
      <c r="G21" s="199">
        <v>206395</v>
      </c>
      <c r="H21" s="203">
        <f>ROUND((G21*(1+'Løntabel gældende fra'!$D$7%)),0)</f>
        <v>223920</v>
      </c>
      <c r="I21" s="201">
        <v>210285</v>
      </c>
      <c r="J21" s="202">
        <f>ROUND((I21*(1+'Løntabel gældende fra'!$D$7%)),0)</f>
        <v>228141</v>
      </c>
      <c r="K21" s="199">
        <v>212978</v>
      </c>
      <c r="L21" s="203">
        <f>ROUND((K21*(1+'Løntabel gældende fra'!$D$7%)),0)</f>
        <v>231062</v>
      </c>
      <c r="M21" s="436"/>
      <c r="N21" s="415">
        <v>185966.06</v>
      </c>
      <c r="O21" s="416">
        <f>ROUND(N21*(1+'Løntabel gældende fra'!$D$7%),2)</f>
        <v>201756.62</v>
      </c>
    </row>
    <row r="22" spans="1:15">
      <c r="A22" s="2069"/>
      <c r="B22" s="417" t="s">
        <v>98</v>
      </c>
      <c r="C22" s="422">
        <f>C21/12</f>
        <v>16650.833333333332</v>
      </c>
      <c r="D22" s="429">
        <f>ROUND(D21/12,2)</f>
        <v>18064.669999999998</v>
      </c>
      <c r="E22" s="426">
        <f>E21/12</f>
        <v>16975</v>
      </c>
      <c r="F22" s="411">
        <f>ROUND(F21/12,2)</f>
        <v>18416.330000000002</v>
      </c>
      <c r="G22" s="422">
        <f>G21/12</f>
        <v>17199.583333333332</v>
      </c>
      <c r="H22" s="429">
        <f>ROUND(H21/12,2)</f>
        <v>18660</v>
      </c>
      <c r="I22" s="426">
        <f>I21/12</f>
        <v>17523.75</v>
      </c>
      <c r="J22" s="411">
        <f>ROUND(J21/12,2)</f>
        <v>19011.75</v>
      </c>
      <c r="K22" s="422">
        <f>K21/12</f>
        <v>17748.166666666668</v>
      </c>
      <c r="L22" s="429">
        <f>ROUND(L21/12,2)</f>
        <v>19255.169999999998</v>
      </c>
      <c r="M22" s="434"/>
      <c r="N22" s="412"/>
      <c r="O22" s="414">
        <f>ROUND(O21/12,2)</f>
        <v>16813.05</v>
      </c>
    </row>
    <row r="23" spans="1:15" ht="16" thickBot="1">
      <c r="A23" s="2072"/>
      <c r="B23" s="418" t="s">
        <v>233</v>
      </c>
      <c r="C23" s="424"/>
      <c r="D23" s="430">
        <f>ROUND(D22/160.33,2)</f>
        <v>112.67</v>
      </c>
      <c r="E23" s="428"/>
      <c r="F23" s="430">
        <f t="shared" ref="F23:O23" si="6">ROUND(F22/160.33,2)</f>
        <v>114.87</v>
      </c>
      <c r="G23" s="430">
        <f t="shared" si="6"/>
        <v>107.28</v>
      </c>
      <c r="H23" s="430">
        <f t="shared" si="6"/>
        <v>116.38</v>
      </c>
      <c r="I23" s="430">
        <f t="shared" si="6"/>
        <v>109.3</v>
      </c>
      <c r="J23" s="430">
        <f t="shared" si="6"/>
        <v>118.58</v>
      </c>
      <c r="K23" s="430">
        <f t="shared" si="6"/>
        <v>110.7</v>
      </c>
      <c r="L23" s="430">
        <f t="shared" si="6"/>
        <v>120.1</v>
      </c>
      <c r="M23" s="430">
        <f t="shared" si="6"/>
        <v>0</v>
      </c>
      <c r="N23" s="430">
        <f t="shared" si="6"/>
        <v>0</v>
      </c>
      <c r="O23" s="430">
        <f t="shared" si="6"/>
        <v>104.87</v>
      </c>
    </row>
    <row r="24" spans="1:15">
      <c r="A24" s="2071">
        <v>7</v>
      </c>
      <c r="B24" s="392" t="s">
        <v>97</v>
      </c>
      <c r="C24" s="207">
        <v>203058</v>
      </c>
      <c r="D24" s="200">
        <f>ROUND((C24*(1+'Løntabel gældende fra'!$D$7%)),0)</f>
        <v>220300</v>
      </c>
      <c r="E24" s="208">
        <v>207045</v>
      </c>
      <c r="F24" s="209">
        <f>ROUND((E24*(1+'Løntabel gældende fra'!$D$7%)),0)</f>
        <v>224625</v>
      </c>
      <c r="G24" s="207">
        <v>209805</v>
      </c>
      <c r="H24" s="200">
        <f>ROUND((G24*(1+'Løntabel gældende fra'!$D$7%)),0)</f>
        <v>227620</v>
      </c>
      <c r="I24" s="208">
        <v>213792</v>
      </c>
      <c r="J24" s="209">
        <f>ROUND((I24*(1+'Løntabel gældende fra'!$D$7%)),0)</f>
        <v>231945</v>
      </c>
      <c r="K24" s="207">
        <v>216551</v>
      </c>
      <c r="L24" s="200">
        <f>ROUND((K24*(1+'Løntabel gældende fra'!$D$7%)),0)</f>
        <v>234939</v>
      </c>
      <c r="M24" s="435"/>
      <c r="N24" s="413">
        <v>189010.4</v>
      </c>
      <c r="O24" s="214">
        <f>ROUND(N24*(1+'Løntabel gældende fra'!$D$7%),2)</f>
        <v>205059.46</v>
      </c>
    </row>
    <row r="25" spans="1:15">
      <c r="A25" s="2069"/>
      <c r="B25" s="417" t="s">
        <v>98</v>
      </c>
      <c r="C25" s="422"/>
      <c r="D25" s="429">
        <f>ROUND(D24/12,2)</f>
        <v>18358.330000000002</v>
      </c>
      <c r="E25" s="426">
        <f>E24/12</f>
        <v>17253.75</v>
      </c>
      <c r="F25" s="411">
        <f>ROUND(F24/12,2)</f>
        <v>18718.75</v>
      </c>
      <c r="G25" s="422">
        <f>G24/12</f>
        <v>17483.75</v>
      </c>
      <c r="H25" s="429">
        <f>ROUND(H24/12,2)</f>
        <v>18968.330000000002</v>
      </c>
      <c r="I25" s="426">
        <f>I24/12</f>
        <v>17816</v>
      </c>
      <c r="J25" s="411">
        <f>ROUND(J24/12,2)</f>
        <v>19328.75</v>
      </c>
      <c r="K25" s="422">
        <f>K24/12</f>
        <v>18045.916666666668</v>
      </c>
      <c r="L25" s="429">
        <f>ROUND(L24/12,2)</f>
        <v>19578.25</v>
      </c>
      <c r="M25" s="434"/>
      <c r="N25" s="412"/>
      <c r="O25" s="414">
        <f>ROUND(O24/12,2)</f>
        <v>17088.29</v>
      </c>
    </row>
    <row r="26" spans="1:15" ht="16" thickBot="1">
      <c r="A26" s="2070"/>
      <c r="B26" s="394" t="s">
        <v>233</v>
      </c>
      <c r="C26" s="204">
        <f>C24/12</f>
        <v>16921.5</v>
      </c>
      <c r="D26" s="205">
        <f>ROUND(D25/160.33,2)</f>
        <v>114.5</v>
      </c>
      <c r="E26" s="427"/>
      <c r="F26" s="205">
        <f t="shared" ref="F26:O26" si="7">ROUND(F25/160.33,2)</f>
        <v>116.75</v>
      </c>
      <c r="G26" s="205">
        <f t="shared" si="7"/>
        <v>109.05</v>
      </c>
      <c r="H26" s="205">
        <f t="shared" si="7"/>
        <v>118.31</v>
      </c>
      <c r="I26" s="205">
        <f t="shared" si="7"/>
        <v>111.12</v>
      </c>
      <c r="J26" s="205">
        <f t="shared" si="7"/>
        <v>120.56</v>
      </c>
      <c r="K26" s="205">
        <f t="shared" si="7"/>
        <v>112.55</v>
      </c>
      <c r="L26" s="205">
        <f t="shared" si="7"/>
        <v>122.11</v>
      </c>
      <c r="M26" s="205">
        <f t="shared" si="7"/>
        <v>0</v>
      </c>
      <c r="N26" s="205">
        <f t="shared" si="7"/>
        <v>0</v>
      </c>
      <c r="O26" s="205">
        <f t="shared" si="7"/>
        <v>106.58</v>
      </c>
    </row>
    <row r="27" spans="1:15">
      <c r="A27" s="2068">
        <v>8</v>
      </c>
      <c r="B27" s="198" t="s">
        <v>97</v>
      </c>
      <c r="C27" s="199">
        <v>206396</v>
      </c>
      <c r="D27" s="203">
        <f>ROUND((C27*(1+'Løntabel gældende fra'!$D$7%)),0)</f>
        <v>223921</v>
      </c>
      <c r="E27" s="201">
        <v>210482</v>
      </c>
      <c r="F27" s="202">
        <f>ROUND((E27*(1+'Løntabel gældende fra'!$D$7%)),0)</f>
        <v>228354</v>
      </c>
      <c r="G27" s="199">
        <v>213311</v>
      </c>
      <c r="H27" s="203">
        <f>ROUND((G27*(1+'Løntabel gældende fra'!$D$7%)),0)</f>
        <v>231423</v>
      </c>
      <c r="I27" s="201">
        <v>217397</v>
      </c>
      <c r="J27" s="202">
        <f>ROUND((I27*(1+'Løntabel gældende fra'!$D$7%)),0)</f>
        <v>235856</v>
      </c>
      <c r="K27" s="199">
        <v>220226</v>
      </c>
      <c r="L27" s="203">
        <f>ROUND((K27*(1+'Løntabel gældende fra'!$D$7%)),0)</f>
        <v>238926</v>
      </c>
      <c r="M27" s="436"/>
      <c r="N27" s="415">
        <v>192139.54</v>
      </c>
      <c r="O27" s="416">
        <f>ROUND(N27*(1+'Løntabel gældende fra'!$D$7%),2)</f>
        <v>208454.3</v>
      </c>
    </row>
    <row r="28" spans="1:15">
      <c r="A28" s="2069"/>
      <c r="B28" s="417" t="s">
        <v>98</v>
      </c>
      <c r="C28" s="422"/>
      <c r="D28" s="429">
        <f>ROUND(D27/12,2)</f>
        <v>18660.080000000002</v>
      </c>
      <c r="E28" s="426">
        <f>E27/12</f>
        <v>17540.166666666668</v>
      </c>
      <c r="F28" s="411">
        <f>ROUND(F27/12,2)</f>
        <v>19029.5</v>
      </c>
      <c r="G28" s="422">
        <f>G27/12</f>
        <v>17775.916666666668</v>
      </c>
      <c r="H28" s="429">
        <f>ROUND(H27/12,2)</f>
        <v>19285.25</v>
      </c>
      <c r="I28" s="426">
        <f>I27/12</f>
        <v>18116.416666666668</v>
      </c>
      <c r="J28" s="411">
        <f>ROUND(J27/12,2)</f>
        <v>19654.669999999998</v>
      </c>
      <c r="K28" s="422">
        <f>K27/12</f>
        <v>18352.166666666668</v>
      </c>
      <c r="L28" s="429">
        <f>ROUND(L27/12,2)</f>
        <v>19910.5</v>
      </c>
      <c r="M28" s="434"/>
      <c r="N28" s="412"/>
      <c r="O28" s="414">
        <f>ROUND(O27/12,2)</f>
        <v>17371.189999999999</v>
      </c>
    </row>
    <row r="29" spans="1:15" ht="16" thickBot="1">
      <c r="A29" s="2072"/>
      <c r="B29" s="418" t="s">
        <v>233</v>
      </c>
      <c r="C29" s="425">
        <f>C27/12</f>
        <v>17199.666666666668</v>
      </c>
      <c r="D29" s="430">
        <f>ROUND(D28/160.33,2)</f>
        <v>116.39</v>
      </c>
      <c r="E29" s="428"/>
      <c r="F29" s="430">
        <f t="shared" ref="F29:O29" si="8">ROUND(F28/160.33,2)</f>
        <v>118.69</v>
      </c>
      <c r="G29" s="430">
        <f t="shared" si="8"/>
        <v>110.87</v>
      </c>
      <c r="H29" s="430">
        <f t="shared" si="8"/>
        <v>120.28</v>
      </c>
      <c r="I29" s="430">
        <f t="shared" si="8"/>
        <v>112.99</v>
      </c>
      <c r="J29" s="430">
        <f t="shared" si="8"/>
        <v>122.59</v>
      </c>
      <c r="K29" s="430">
        <f t="shared" si="8"/>
        <v>114.46</v>
      </c>
      <c r="L29" s="430">
        <f t="shared" si="8"/>
        <v>124.18</v>
      </c>
      <c r="M29" s="430">
        <f t="shared" si="8"/>
        <v>0</v>
      </c>
      <c r="N29" s="430">
        <f t="shared" si="8"/>
        <v>0</v>
      </c>
      <c r="O29" s="430">
        <f t="shared" si="8"/>
        <v>108.35</v>
      </c>
    </row>
    <row r="30" spans="1:15">
      <c r="A30" s="2071">
        <v>9</v>
      </c>
      <c r="B30" s="392" t="s">
        <v>97</v>
      </c>
      <c r="C30" s="207">
        <v>209829</v>
      </c>
      <c r="D30" s="200">
        <f>ROUND((C30*(1+'Løntabel gældende fra'!$D$7%)),0)</f>
        <v>227646</v>
      </c>
      <c r="E30" s="208">
        <v>214015</v>
      </c>
      <c r="F30" s="209">
        <f>ROUND((E30*(1+'Løntabel gældende fra'!$D$7%)),0)</f>
        <v>232187</v>
      </c>
      <c r="G30" s="207">
        <v>216916</v>
      </c>
      <c r="H30" s="200">
        <f>ROUND((G30*(1+'Løntabel gældende fra'!$D$7%)),0)</f>
        <v>235335</v>
      </c>
      <c r="I30" s="208">
        <v>221102</v>
      </c>
      <c r="J30" s="209">
        <f>ROUND((I30*(1+'Løntabel gældende fra'!$D$7%)),0)</f>
        <v>239876</v>
      </c>
      <c r="K30" s="207">
        <v>224002</v>
      </c>
      <c r="L30" s="200">
        <f>ROUND((K30*(1+'Løntabel gældende fra'!$D$7%)),0)</f>
        <v>243022</v>
      </c>
      <c r="M30" s="435"/>
      <c r="N30" s="413">
        <v>195355.31</v>
      </c>
      <c r="O30" s="214">
        <f>ROUND(N30*(1+'Løntabel gældende fra'!$D$7%),2)</f>
        <v>211943.12</v>
      </c>
    </row>
    <row r="31" spans="1:15">
      <c r="A31" s="2069"/>
      <c r="B31" s="417" t="s">
        <v>240</v>
      </c>
      <c r="C31" s="422"/>
      <c r="D31" s="429">
        <f>ROUND(D30/12,2)</f>
        <v>18970.5</v>
      </c>
      <c r="E31" s="426">
        <f>E30/12</f>
        <v>17834.583333333332</v>
      </c>
      <c r="F31" s="411">
        <f>ROUND(F30/12,2)</f>
        <v>19348.919999999998</v>
      </c>
      <c r="G31" s="422">
        <f>G30/12</f>
        <v>18076.333333333332</v>
      </c>
      <c r="H31" s="429">
        <f>ROUND(H30/12,2)</f>
        <v>19611.25</v>
      </c>
      <c r="I31" s="426">
        <f>I30/12</f>
        <v>18425.166666666668</v>
      </c>
      <c r="J31" s="411">
        <f>ROUND(J30/12,2)</f>
        <v>19989.669999999998</v>
      </c>
      <c r="K31" s="422">
        <f>K30/12</f>
        <v>18666.833333333332</v>
      </c>
      <c r="L31" s="429">
        <f>ROUND(L30/12,2)</f>
        <v>20251.830000000002</v>
      </c>
      <c r="M31" s="434"/>
      <c r="N31" s="412"/>
      <c r="O31" s="414">
        <f>ROUND(O30/12,2)</f>
        <v>17661.93</v>
      </c>
    </row>
    <row r="32" spans="1:15" ht="16" thickBot="1">
      <c r="A32" s="2070"/>
      <c r="B32" s="394" t="s">
        <v>233</v>
      </c>
      <c r="C32" s="204">
        <f>C30/12</f>
        <v>17485.75</v>
      </c>
      <c r="D32" s="205">
        <f>ROUND(D31/160.33,2)</f>
        <v>118.32</v>
      </c>
      <c r="E32" s="427"/>
      <c r="F32" s="205">
        <f t="shared" ref="F32:O32" si="9">ROUND(F31/160.33,2)</f>
        <v>120.68</v>
      </c>
      <c r="G32" s="205">
        <f t="shared" si="9"/>
        <v>112.74</v>
      </c>
      <c r="H32" s="205">
        <f t="shared" si="9"/>
        <v>122.32</v>
      </c>
      <c r="I32" s="205">
        <f t="shared" si="9"/>
        <v>114.92</v>
      </c>
      <c r="J32" s="205">
        <f t="shared" si="9"/>
        <v>124.68</v>
      </c>
      <c r="K32" s="205">
        <f t="shared" si="9"/>
        <v>116.43</v>
      </c>
      <c r="L32" s="205">
        <f t="shared" si="9"/>
        <v>126.31</v>
      </c>
      <c r="M32" s="205">
        <f t="shared" si="9"/>
        <v>0</v>
      </c>
      <c r="N32" s="205">
        <f t="shared" si="9"/>
        <v>0</v>
      </c>
      <c r="O32" s="205">
        <f t="shared" si="9"/>
        <v>110.16</v>
      </c>
    </row>
    <row r="33" spans="1:15">
      <c r="A33" s="2068">
        <v>10</v>
      </c>
      <c r="B33" s="198" t="s">
        <v>97</v>
      </c>
      <c r="C33" s="199">
        <v>213353</v>
      </c>
      <c r="D33" s="203">
        <f>ROUND((C33*(1+'Løntabel gældende fra'!$D$7%)),0)</f>
        <v>231469</v>
      </c>
      <c r="E33" s="201">
        <v>217646</v>
      </c>
      <c r="F33" s="202">
        <f>ROUND((E33*(1+'Løntabel gældende fra'!$D$7%)),0)</f>
        <v>236127</v>
      </c>
      <c r="G33" s="199">
        <v>220617</v>
      </c>
      <c r="H33" s="203">
        <f>ROUND((G33*(1+'Løntabel gældende fra'!$D$7%)),0)</f>
        <v>239350</v>
      </c>
      <c r="I33" s="201">
        <v>224909</v>
      </c>
      <c r="J33" s="202">
        <f>ROUND((I33*(1+'Løntabel gældende fra'!$D$7%)),0)</f>
        <v>244006</v>
      </c>
      <c r="K33" s="199">
        <v>227882</v>
      </c>
      <c r="L33" s="203">
        <f>ROUND((K33*(1+'Løntabel gældende fra'!$D$7%)),0)</f>
        <v>247232</v>
      </c>
      <c r="M33" s="436"/>
      <c r="N33" s="415">
        <v>198659.5</v>
      </c>
      <c r="O33" s="416">
        <f>ROUND(N33*(1+'Løntabel gældende fra'!$D$7%),2)</f>
        <v>215527.88</v>
      </c>
    </row>
    <row r="34" spans="1:15">
      <c r="A34" s="2069"/>
      <c r="B34" s="417" t="s">
        <v>98</v>
      </c>
      <c r="C34" s="422"/>
      <c r="D34" s="429">
        <f>ROUND(D33/12,2)</f>
        <v>19289.080000000002</v>
      </c>
      <c r="E34" s="426">
        <f>E33/12</f>
        <v>18137.166666666668</v>
      </c>
      <c r="F34" s="411">
        <f>ROUND(F33/12,2)</f>
        <v>19677.25</v>
      </c>
      <c r="G34" s="422">
        <f>G33/12</f>
        <v>18384.75</v>
      </c>
      <c r="H34" s="429">
        <f>ROUND(H33/12,2)</f>
        <v>19945.830000000002</v>
      </c>
      <c r="I34" s="426">
        <f>I33/12</f>
        <v>18742.416666666668</v>
      </c>
      <c r="J34" s="411">
        <f>ROUND(J33/12,2)</f>
        <v>20333.830000000002</v>
      </c>
      <c r="K34" s="422">
        <f>K33/12</f>
        <v>18990.166666666668</v>
      </c>
      <c r="L34" s="429">
        <f>ROUND(L33/12,2)</f>
        <v>20602.669999999998</v>
      </c>
      <c r="M34" s="434"/>
      <c r="N34" s="412"/>
      <c r="O34" s="414">
        <f>ROUND(O33/12,2)</f>
        <v>17960.66</v>
      </c>
    </row>
    <row r="35" spans="1:15" ht="16" thickBot="1">
      <c r="A35" s="2072"/>
      <c r="B35" s="418" t="s">
        <v>233</v>
      </c>
      <c r="C35" s="425">
        <f>C33/12</f>
        <v>17779.416666666668</v>
      </c>
      <c r="D35" s="430">
        <f>ROUND(D34/160.33,2)</f>
        <v>120.31</v>
      </c>
      <c r="E35" s="428"/>
      <c r="F35" s="430">
        <f t="shared" ref="F35:O35" si="10">ROUND(F34/160.33,2)</f>
        <v>122.73</v>
      </c>
      <c r="G35" s="430">
        <f t="shared" si="10"/>
        <v>114.67</v>
      </c>
      <c r="H35" s="430">
        <f t="shared" si="10"/>
        <v>124.4</v>
      </c>
      <c r="I35" s="430">
        <f t="shared" si="10"/>
        <v>116.9</v>
      </c>
      <c r="J35" s="430">
        <f t="shared" si="10"/>
        <v>126.82</v>
      </c>
      <c r="K35" s="430">
        <f t="shared" si="10"/>
        <v>118.44</v>
      </c>
      <c r="L35" s="430">
        <f t="shared" si="10"/>
        <v>128.5</v>
      </c>
      <c r="M35" s="430">
        <f t="shared" si="10"/>
        <v>0</v>
      </c>
      <c r="N35" s="430">
        <f t="shared" si="10"/>
        <v>0</v>
      </c>
      <c r="O35" s="430">
        <f t="shared" si="10"/>
        <v>112.02</v>
      </c>
    </row>
    <row r="36" spans="1:15">
      <c r="A36" s="2071">
        <v>11</v>
      </c>
      <c r="B36" s="392" t="s">
        <v>97</v>
      </c>
      <c r="C36" s="207">
        <v>216134</v>
      </c>
      <c r="D36" s="200">
        <f>ROUND((C36*(1+'Løntabel gældende fra'!$D$7%)),0)</f>
        <v>234486</v>
      </c>
      <c r="E36" s="208">
        <v>220533</v>
      </c>
      <c r="F36" s="209">
        <f>ROUND((E36*(1+'Løntabel gældende fra'!$D$7%)),0)</f>
        <v>239259</v>
      </c>
      <c r="G36" s="207">
        <v>223579</v>
      </c>
      <c r="H36" s="200">
        <f>ROUND((G36*(1+'Løntabel gældende fra'!$D$7%)),0)</f>
        <v>242563</v>
      </c>
      <c r="I36" s="208">
        <v>227978</v>
      </c>
      <c r="J36" s="209">
        <f>ROUND((I36*(1+'Løntabel gældende fra'!$D$7%)),0)</f>
        <v>247336</v>
      </c>
      <c r="K36" s="207">
        <v>231023</v>
      </c>
      <c r="L36" s="200">
        <f>ROUND((K36*(1+'Løntabel gældende fra'!$D$7%)),0)</f>
        <v>250639</v>
      </c>
      <c r="M36" s="435"/>
      <c r="N36" s="413">
        <v>202053.93</v>
      </c>
      <c r="O36" s="214">
        <f>ROUND(N36*(1+'Løntabel gældende fra'!$D$7%),2)</f>
        <v>219210.53</v>
      </c>
    </row>
    <row r="37" spans="1:15">
      <c r="A37" s="2069"/>
      <c r="B37" s="417" t="s">
        <v>240</v>
      </c>
      <c r="C37" s="422"/>
      <c r="D37" s="429">
        <f>ROUND(D36/12,2)</f>
        <v>19540.5</v>
      </c>
      <c r="E37" s="426">
        <f>E36/12</f>
        <v>18377.75</v>
      </c>
      <c r="F37" s="411">
        <f>ROUND(F36/12,2)</f>
        <v>19938.25</v>
      </c>
      <c r="G37" s="422">
        <f>G36/12</f>
        <v>18631.583333333332</v>
      </c>
      <c r="H37" s="429">
        <f>ROUND(H36/12,2)</f>
        <v>20213.580000000002</v>
      </c>
      <c r="I37" s="426">
        <f>I36/12</f>
        <v>18998.166666666668</v>
      </c>
      <c r="J37" s="411">
        <f>ROUND(J36/12,2)</f>
        <v>20611.330000000002</v>
      </c>
      <c r="K37" s="422">
        <f>K36/12</f>
        <v>19251.916666666668</v>
      </c>
      <c r="L37" s="429">
        <f>ROUND(L36/12,2)</f>
        <v>20886.580000000002</v>
      </c>
      <c r="M37" s="434"/>
      <c r="N37" s="412"/>
      <c r="O37" s="414">
        <f>ROUND(O36/12,2)</f>
        <v>18267.54</v>
      </c>
    </row>
    <row r="38" spans="1:15" ht="16" thickBot="1">
      <c r="A38" s="2070"/>
      <c r="B38" s="394" t="s">
        <v>233</v>
      </c>
      <c r="C38" s="204">
        <f>C36/12</f>
        <v>18011.166666666668</v>
      </c>
      <c r="D38" s="205">
        <f>ROUND(D37/160.33,2)</f>
        <v>121.88</v>
      </c>
      <c r="E38" s="427"/>
      <c r="F38" s="205">
        <f t="shared" ref="F38:O38" si="11">ROUND(F37/160.33,2)</f>
        <v>124.36</v>
      </c>
      <c r="G38" s="205">
        <f t="shared" si="11"/>
        <v>116.21</v>
      </c>
      <c r="H38" s="205">
        <f t="shared" si="11"/>
        <v>126.07</v>
      </c>
      <c r="I38" s="205">
        <f t="shared" si="11"/>
        <v>118.49</v>
      </c>
      <c r="J38" s="205">
        <f t="shared" si="11"/>
        <v>128.56</v>
      </c>
      <c r="K38" s="205">
        <f t="shared" si="11"/>
        <v>120.08</v>
      </c>
      <c r="L38" s="205">
        <f t="shared" si="11"/>
        <v>130.27000000000001</v>
      </c>
      <c r="M38" s="205">
        <f t="shared" si="11"/>
        <v>0</v>
      </c>
      <c r="N38" s="205">
        <f t="shared" si="11"/>
        <v>0</v>
      </c>
      <c r="O38" s="205">
        <f t="shared" si="11"/>
        <v>113.94</v>
      </c>
    </row>
    <row r="39" spans="1:15">
      <c r="A39" s="2068">
        <v>12</v>
      </c>
      <c r="B39" s="198" t="s">
        <v>97</v>
      </c>
      <c r="C39" s="199">
        <v>219855</v>
      </c>
      <c r="D39" s="203">
        <f>ROUND((C39*(1+'Løntabel gældende fra'!$D$7%)),0)</f>
        <v>238523</v>
      </c>
      <c r="E39" s="201">
        <v>224365</v>
      </c>
      <c r="F39" s="202">
        <f>ROUND((E39*(1+'Løntabel gældende fra'!$D$7%)),0)</f>
        <v>243416</v>
      </c>
      <c r="G39" s="199">
        <v>227489</v>
      </c>
      <c r="H39" s="203">
        <f>ROUND((G39*(1+'Løntabel gældende fra'!$D$7%)),0)</f>
        <v>246805</v>
      </c>
      <c r="I39" s="201">
        <v>231997</v>
      </c>
      <c r="J39" s="202">
        <f>ROUND((I39*(1+'Løntabel gældende fra'!$D$7%)),0)</f>
        <v>251696</v>
      </c>
      <c r="K39" s="199">
        <v>235119</v>
      </c>
      <c r="L39" s="203">
        <f>ROUND((K39*(1+'Løntabel gældende fra'!$D$7%)),0)</f>
        <v>255083</v>
      </c>
      <c r="M39" s="436"/>
      <c r="N39" s="415">
        <v>205542.18</v>
      </c>
      <c r="O39" s="416">
        <f>ROUND(N39*(1+'Løntabel gældende fra'!$D$7%),2)</f>
        <v>222994.97</v>
      </c>
    </row>
    <row r="40" spans="1:15">
      <c r="A40" s="2069"/>
      <c r="B40" s="417" t="s">
        <v>98</v>
      </c>
      <c r="C40" s="422"/>
      <c r="D40" s="429">
        <f>ROUND(D39/12,2)</f>
        <v>19876.919999999998</v>
      </c>
      <c r="E40" s="426">
        <f>E39/12</f>
        <v>18697.083333333332</v>
      </c>
      <c r="F40" s="411">
        <f>ROUND(F39/12,2)</f>
        <v>20284.669999999998</v>
      </c>
      <c r="G40" s="422">
        <f>G39/12</f>
        <v>18957.416666666668</v>
      </c>
      <c r="H40" s="429">
        <f>ROUND(H39/12,2)</f>
        <v>20567.080000000002</v>
      </c>
      <c r="I40" s="426">
        <f>I39/12</f>
        <v>19333.083333333332</v>
      </c>
      <c r="J40" s="411">
        <f>ROUND(J39/12,2)</f>
        <v>20974.67</v>
      </c>
      <c r="K40" s="422">
        <f>K39/12</f>
        <v>19593.25</v>
      </c>
      <c r="L40" s="429">
        <f>ROUND(L39/12,2)</f>
        <v>21256.92</v>
      </c>
      <c r="M40" s="434"/>
      <c r="N40" s="412"/>
      <c r="O40" s="414">
        <f>ROUND(O39/12,2)</f>
        <v>18582.91</v>
      </c>
    </row>
    <row r="41" spans="1:15" ht="16" thickBot="1">
      <c r="A41" s="2072"/>
      <c r="B41" s="418" t="s">
        <v>233</v>
      </c>
      <c r="C41" s="425">
        <f>C39/12</f>
        <v>18321.25</v>
      </c>
      <c r="D41" s="430">
        <f>ROUND(D40/160.33,2)</f>
        <v>123.98</v>
      </c>
      <c r="E41" s="430">
        <f t="shared" ref="E41:O41" si="12">ROUND(E40/160.33,2)</f>
        <v>116.62</v>
      </c>
      <c r="F41" s="430">
        <f t="shared" si="12"/>
        <v>126.52</v>
      </c>
      <c r="G41" s="430">
        <f t="shared" si="12"/>
        <v>118.24</v>
      </c>
      <c r="H41" s="430">
        <f t="shared" si="12"/>
        <v>128.28</v>
      </c>
      <c r="I41" s="430">
        <f t="shared" si="12"/>
        <v>120.58</v>
      </c>
      <c r="J41" s="430">
        <f t="shared" si="12"/>
        <v>130.82</v>
      </c>
      <c r="K41" s="430">
        <f t="shared" si="12"/>
        <v>122.21</v>
      </c>
      <c r="L41" s="430">
        <f t="shared" si="12"/>
        <v>132.58000000000001</v>
      </c>
      <c r="M41" s="430">
        <f t="shared" si="12"/>
        <v>0</v>
      </c>
      <c r="N41" s="430">
        <f t="shared" si="12"/>
        <v>0</v>
      </c>
      <c r="O41" s="430">
        <f t="shared" si="12"/>
        <v>115.9</v>
      </c>
    </row>
    <row r="42" spans="1:15">
      <c r="A42" s="2071">
        <v>13</v>
      </c>
      <c r="B42" s="392" t="s">
        <v>97</v>
      </c>
      <c r="C42" s="207">
        <v>223681</v>
      </c>
      <c r="D42" s="200">
        <f>ROUND((C42*(1+'Løntabel gældende fra'!$D$7%)),0)</f>
        <v>242674</v>
      </c>
      <c r="E42" s="208">
        <v>228304</v>
      </c>
      <c r="F42" s="209">
        <f>ROUND((E42*(1+'Løntabel gældende fra'!$D$7%)),0)</f>
        <v>247690</v>
      </c>
      <c r="G42" s="207">
        <v>231504</v>
      </c>
      <c r="H42" s="200">
        <f>ROUND((G42*(1+'Løntabel gældende fra'!$D$7%)),0)</f>
        <v>251161</v>
      </c>
      <c r="I42" s="208">
        <v>236129</v>
      </c>
      <c r="J42" s="209">
        <f>ROUND((I42*(1+'Løntabel gældende fra'!$D$7%)),0)</f>
        <v>256179</v>
      </c>
      <c r="K42" s="207">
        <v>239328</v>
      </c>
      <c r="L42" s="200">
        <f>ROUND((K42*(1+'Løntabel gældende fra'!$D$7%)),0)</f>
        <v>259650</v>
      </c>
      <c r="M42" s="435"/>
      <c r="N42" s="413">
        <v>209126.09</v>
      </c>
      <c r="O42" s="214">
        <f>ROUND(N42*(1+'Løntabel gældende fra'!$D$7%),2)</f>
        <v>226883.20000000001</v>
      </c>
    </row>
    <row r="43" spans="1:15">
      <c r="A43" s="2069"/>
      <c r="B43" s="417" t="s">
        <v>240</v>
      </c>
      <c r="C43" s="422"/>
      <c r="D43" s="429">
        <f>ROUND(D42/12,2)</f>
        <v>20222.830000000002</v>
      </c>
      <c r="E43" s="426">
        <f>E42/12</f>
        <v>19025.333333333332</v>
      </c>
      <c r="F43" s="411">
        <f>ROUND(F42/12,2)</f>
        <v>20640.830000000002</v>
      </c>
      <c r="G43" s="422">
        <f>G42/12</f>
        <v>19292</v>
      </c>
      <c r="H43" s="429">
        <f>ROUND(H42/12,2)</f>
        <v>20930.080000000002</v>
      </c>
      <c r="I43" s="426">
        <f>I42/12</f>
        <v>19677.416666666668</v>
      </c>
      <c r="J43" s="411">
        <f>ROUND(J42/12,2)</f>
        <v>21348.25</v>
      </c>
      <c r="K43" s="422">
        <f>K42/12</f>
        <v>19944</v>
      </c>
      <c r="L43" s="429">
        <f>ROUND(L42/12,2)</f>
        <v>21637.5</v>
      </c>
      <c r="M43" s="434"/>
      <c r="N43" s="412"/>
      <c r="O43" s="414">
        <f>ROUND(O42/12,2)</f>
        <v>18906.93</v>
      </c>
    </row>
    <row r="44" spans="1:15" ht="16" thickBot="1">
      <c r="A44" s="2070"/>
      <c r="B44" s="394" t="s">
        <v>233</v>
      </c>
      <c r="C44" s="204">
        <f>C42/12</f>
        <v>18640.083333333332</v>
      </c>
      <c r="D44" s="205">
        <f>ROUND(D43/160.33,2)</f>
        <v>126.13</v>
      </c>
      <c r="E44" s="427"/>
      <c r="F44" s="205">
        <f t="shared" ref="F44:O44" si="13">ROUND(F43/160.33,2)</f>
        <v>128.74</v>
      </c>
      <c r="G44" s="205">
        <f t="shared" si="13"/>
        <v>120.33</v>
      </c>
      <c r="H44" s="205">
        <f t="shared" si="13"/>
        <v>130.54</v>
      </c>
      <c r="I44" s="205">
        <f t="shared" si="13"/>
        <v>122.73</v>
      </c>
      <c r="J44" s="205">
        <f t="shared" si="13"/>
        <v>133.15</v>
      </c>
      <c r="K44" s="205">
        <f t="shared" si="13"/>
        <v>124.39</v>
      </c>
      <c r="L44" s="205">
        <f t="shared" si="13"/>
        <v>134.96</v>
      </c>
      <c r="M44" s="205">
        <f t="shared" si="13"/>
        <v>0</v>
      </c>
      <c r="N44" s="205">
        <f t="shared" si="13"/>
        <v>0</v>
      </c>
      <c r="O44" s="205">
        <f t="shared" si="13"/>
        <v>117.93</v>
      </c>
    </row>
    <row r="45" spans="1:15">
      <c r="A45" s="2071">
        <v>14</v>
      </c>
      <c r="B45" s="392" t="s">
        <v>97</v>
      </c>
      <c r="C45" s="207">
        <v>227611</v>
      </c>
      <c r="D45" s="200">
        <f>ROUND((C45*(1+'Løntabel gældende fra'!$D$7%)),0)</f>
        <v>246938</v>
      </c>
      <c r="E45" s="208">
        <v>232351</v>
      </c>
      <c r="F45" s="209">
        <f>ROUND((E45*(1+'Løntabel gældende fra'!$D$7%)),0)</f>
        <v>252080</v>
      </c>
      <c r="G45" s="207">
        <v>235632</v>
      </c>
      <c r="H45" s="200">
        <f>ROUND((G45*(1+'Løntabel gældende fra'!$D$7%)),0)</f>
        <v>255640</v>
      </c>
      <c r="I45" s="208">
        <v>240371</v>
      </c>
      <c r="J45" s="209">
        <f>ROUND((I45*(1+'Løntabel gældende fra'!$D$7%)),0)</f>
        <v>260781</v>
      </c>
      <c r="K45" s="207">
        <v>243652</v>
      </c>
      <c r="L45" s="200">
        <f>ROUND((K45*(1+'Løntabel gældende fra'!$D$7%)),0)</f>
        <v>264341</v>
      </c>
      <c r="M45" s="435"/>
      <c r="N45" s="413">
        <v>212809.24</v>
      </c>
      <c r="O45" s="214">
        <f>ROUND(N45*(1+'Løntabel gældende fra'!$D$7%),2)</f>
        <v>230879.09</v>
      </c>
    </row>
    <row r="46" spans="1:15">
      <c r="A46" s="2069"/>
      <c r="B46" s="417" t="s">
        <v>240</v>
      </c>
      <c r="C46" s="422"/>
      <c r="D46" s="429">
        <f>ROUND(D45/12,2)</f>
        <v>20578.169999999998</v>
      </c>
      <c r="E46" s="426">
        <f>E45/12</f>
        <v>19362.583333333332</v>
      </c>
      <c r="F46" s="411">
        <f>ROUND(F45/12,2)</f>
        <v>21006.67</v>
      </c>
      <c r="G46" s="422">
        <f>G45/12</f>
        <v>19636</v>
      </c>
      <c r="H46" s="429">
        <f>ROUND(H45/12,2)</f>
        <v>21303.33</v>
      </c>
      <c r="I46" s="426">
        <f>I45/12</f>
        <v>20030.916666666668</v>
      </c>
      <c r="J46" s="411">
        <f>ROUND(J45/12,2)</f>
        <v>21731.75</v>
      </c>
      <c r="K46" s="422">
        <f>K45/12</f>
        <v>20304.333333333332</v>
      </c>
      <c r="L46" s="429">
        <f>ROUND(L45/12,2)</f>
        <v>22028.42</v>
      </c>
      <c r="M46" s="434"/>
      <c r="N46" s="412"/>
      <c r="O46" s="414">
        <f>ROUND(O45/12,2)</f>
        <v>19239.919999999998</v>
      </c>
    </row>
    <row r="47" spans="1:15" ht="16" thickBot="1">
      <c r="A47" s="2070"/>
      <c r="B47" s="394" t="s">
        <v>233</v>
      </c>
      <c r="C47" s="204">
        <f>C45/12</f>
        <v>18967.583333333332</v>
      </c>
      <c r="D47" s="205">
        <f>ROUND(D46/160.33,2)</f>
        <v>128.35</v>
      </c>
      <c r="E47" s="427"/>
      <c r="F47" s="205">
        <f t="shared" ref="F47:O47" si="14">ROUND(F46/160.33,2)</f>
        <v>131.02000000000001</v>
      </c>
      <c r="G47" s="205">
        <f t="shared" si="14"/>
        <v>122.47</v>
      </c>
      <c r="H47" s="205">
        <f t="shared" si="14"/>
        <v>132.87</v>
      </c>
      <c r="I47" s="205">
        <f t="shared" si="14"/>
        <v>124.94</v>
      </c>
      <c r="J47" s="205">
        <f t="shared" si="14"/>
        <v>135.54</v>
      </c>
      <c r="K47" s="205">
        <f t="shared" si="14"/>
        <v>126.64</v>
      </c>
      <c r="L47" s="205">
        <f t="shared" si="14"/>
        <v>137.38999999999999</v>
      </c>
      <c r="M47" s="205">
        <f t="shared" si="14"/>
        <v>0</v>
      </c>
      <c r="N47" s="205">
        <f t="shared" si="14"/>
        <v>0</v>
      </c>
      <c r="O47" s="205">
        <f t="shared" si="14"/>
        <v>120</v>
      </c>
    </row>
    <row r="48" spans="1:15">
      <c r="A48" s="2071">
        <v>15</v>
      </c>
      <c r="B48" s="392" t="s">
        <v>97</v>
      </c>
      <c r="C48" s="207">
        <v>231649</v>
      </c>
      <c r="D48" s="200">
        <f>ROUND((C48*(1+'Løntabel gældende fra'!$D$7%)),0)</f>
        <v>251319</v>
      </c>
      <c r="E48" s="208">
        <v>236507</v>
      </c>
      <c r="F48" s="209">
        <f>ROUND((E48*(1+'Løntabel gældende fra'!$D$7%)),0)</f>
        <v>256589</v>
      </c>
      <c r="G48" s="207">
        <v>239870</v>
      </c>
      <c r="H48" s="200">
        <f>ROUND((G48*(1+'Løntabel gældende fra'!$D$7%)),0)</f>
        <v>260238</v>
      </c>
      <c r="I48" s="208">
        <v>244730</v>
      </c>
      <c r="J48" s="209">
        <f>ROUND((I48*(1+'Løntabel gældende fra'!$D$7%)),0)</f>
        <v>265510</v>
      </c>
      <c r="K48" s="207">
        <v>248094</v>
      </c>
      <c r="L48" s="200">
        <f>ROUND((K48*(1+'Løntabel gældende fra'!$D$7%)),0)</f>
        <v>269160</v>
      </c>
      <c r="M48" s="435"/>
      <c r="N48" s="413">
        <v>216591.65</v>
      </c>
      <c r="O48" s="214">
        <f>ROUND(N48*(1+'Løntabel gældende fra'!$D$7%),2)</f>
        <v>234982.66</v>
      </c>
    </row>
    <row r="49" spans="1:15">
      <c r="A49" s="2069"/>
      <c r="B49" s="417" t="s">
        <v>98</v>
      </c>
      <c r="C49" s="422"/>
      <c r="D49" s="429">
        <f>ROUND(D48/12,2)</f>
        <v>20943.25</v>
      </c>
      <c r="E49" s="426">
        <f>E48/12</f>
        <v>19708.916666666668</v>
      </c>
      <c r="F49" s="411">
        <f>ROUND(F48/12,2)</f>
        <v>21382.42</v>
      </c>
      <c r="G49" s="422">
        <f>G48/12</f>
        <v>19989.166666666668</v>
      </c>
      <c r="H49" s="429">
        <f>ROUND(H48/12,2)</f>
        <v>21686.5</v>
      </c>
      <c r="I49" s="426">
        <f>I48/12</f>
        <v>20394.166666666668</v>
      </c>
      <c r="J49" s="411">
        <f>ROUND(J48/12,2)</f>
        <v>22125.83</v>
      </c>
      <c r="K49" s="422">
        <f>K48/12</f>
        <v>20674.5</v>
      </c>
      <c r="L49" s="429">
        <f>ROUND(L48/12,2)</f>
        <v>22430</v>
      </c>
      <c r="M49" s="434"/>
      <c r="N49" s="412"/>
      <c r="O49" s="414">
        <f>ROUND(O48/12,2)</f>
        <v>19581.89</v>
      </c>
    </row>
    <row r="50" spans="1:15" ht="16" thickBot="1">
      <c r="A50" s="2070"/>
      <c r="B50" s="394" t="s">
        <v>233</v>
      </c>
      <c r="C50" s="204">
        <f>C48/12</f>
        <v>19304.083333333332</v>
      </c>
      <c r="D50" s="205">
        <f>ROUND(D49/160.33,2)</f>
        <v>130.63</v>
      </c>
      <c r="E50" s="427"/>
      <c r="F50" s="205">
        <f t="shared" ref="F50:O50" si="15">ROUND(F49/160.33,2)</f>
        <v>133.37</v>
      </c>
      <c r="G50" s="205">
        <f t="shared" si="15"/>
        <v>124.68</v>
      </c>
      <c r="H50" s="205">
        <f t="shared" si="15"/>
        <v>135.26</v>
      </c>
      <c r="I50" s="205">
        <f t="shared" si="15"/>
        <v>127.2</v>
      </c>
      <c r="J50" s="205">
        <f t="shared" si="15"/>
        <v>138</v>
      </c>
      <c r="K50" s="205">
        <f t="shared" si="15"/>
        <v>128.94999999999999</v>
      </c>
      <c r="L50" s="205">
        <f t="shared" si="15"/>
        <v>139.9</v>
      </c>
      <c r="M50" s="205">
        <f t="shared" si="15"/>
        <v>0</v>
      </c>
      <c r="N50" s="205">
        <f t="shared" si="15"/>
        <v>0</v>
      </c>
      <c r="O50" s="205">
        <f t="shared" si="15"/>
        <v>122.13</v>
      </c>
    </row>
    <row r="51" spans="1:15">
      <c r="A51" s="2071">
        <v>16</v>
      </c>
      <c r="B51" s="392" t="s">
        <v>97</v>
      </c>
      <c r="C51" s="207">
        <v>234743</v>
      </c>
      <c r="D51" s="200">
        <f>ROUND((C51*(1+'Løntabel gældende fra'!$D$7%)),0)</f>
        <v>254675</v>
      </c>
      <c r="E51" s="208">
        <v>239725</v>
      </c>
      <c r="F51" s="209">
        <f>ROUND((E51*(1+'Løntabel gældende fra'!$D$7%)),0)</f>
        <v>260080</v>
      </c>
      <c r="G51" s="207">
        <v>243175</v>
      </c>
      <c r="H51" s="200">
        <f>ROUND((G51*(1+'Løntabel gældende fra'!$D$7%)),0)</f>
        <v>263823</v>
      </c>
      <c r="I51" s="208">
        <v>248156</v>
      </c>
      <c r="J51" s="209">
        <f>ROUND((I51*(1+'Løntabel gældende fra'!$D$7%)),0)</f>
        <v>269227</v>
      </c>
      <c r="K51" s="207">
        <v>251606</v>
      </c>
      <c r="L51" s="200">
        <f>ROUND((K51*(1+'Løntabel gældende fra'!$D$7%)),0)</f>
        <v>272970</v>
      </c>
      <c r="M51" s="435"/>
      <c r="N51" s="413">
        <v>220480.52</v>
      </c>
      <c r="O51" s="214">
        <f>ROUND(N51*(1+'Løntabel gældende fra'!$D$7%),2)</f>
        <v>239201.74</v>
      </c>
    </row>
    <row r="52" spans="1:15">
      <c r="A52" s="2069"/>
      <c r="B52" s="417" t="s">
        <v>240</v>
      </c>
      <c r="C52" s="422"/>
      <c r="D52" s="429">
        <f>ROUND(D51/12,2)</f>
        <v>21222.92</v>
      </c>
      <c r="E52" s="426">
        <f>E51/12</f>
        <v>19977.083333333332</v>
      </c>
      <c r="F52" s="411">
        <f>ROUND(F51/12,2)</f>
        <v>21673.33</v>
      </c>
      <c r="G52" s="422">
        <f>G51/12</f>
        <v>20264.583333333332</v>
      </c>
      <c r="H52" s="429">
        <f>ROUND(H51/12,2)</f>
        <v>21985.25</v>
      </c>
      <c r="I52" s="426">
        <f>I51/12</f>
        <v>20679.666666666668</v>
      </c>
      <c r="J52" s="411">
        <f>ROUND(J51/12,2)</f>
        <v>22435.58</v>
      </c>
      <c r="K52" s="422">
        <f>K51/12</f>
        <v>20967.166666666668</v>
      </c>
      <c r="L52" s="429">
        <f>ROUND(L51/12,2)</f>
        <v>22747.5</v>
      </c>
      <c r="M52" s="434"/>
      <c r="N52" s="412"/>
      <c r="O52" s="414">
        <f>ROUND(O51/12,2)</f>
        <v>19933.48</v>
      </c>
    </row>
    <row r="53" spans="1:15" ht="16" thickBot="1">
      <c r="A53" s="2070"/>
      <c r="B53" s="394" t="s">
        <v>233</v>
      </c>
      <c r="C53" s="204">
        <f>C51/12</f>
        <v>19561.916666666668</v>
      </c>
      <c r="D53" s="205">
        <f>ROUND(D52/160.33,2)</f>
        <v>132.37</v>
      </c>
      <c r="E53" s="427"/>
      <c r="F53" s="205">
        <f t="shared" ref="F53:O53" si="16">ROUND(F52/160.33,2)</f>
        <v>135.18</v>
      </c>
      <c r="G53" s="205">
        <f t="shared" si="16"/>
        <v>126.39</v>
      </c>
      <c r="H53" s="205">
        <f t="shared" si="16"/>
        <v>137.12</v>
      </c>
      <c r="I53" s="205">
        <f t="shared" si="16"/>
        <v>128.97999999999999</v>
      </c>
      <c r="J53" s="205">
        <f t="shared" si="16"/>
        <v>139.93</v>
      </c>
      <c r="K53" s="205">
        <f t="shared" si="16"/>
        <v>130.78</v>
      </c>
      <c r="L53" s="205">
        <f t="shared" si="16"/>
        <v>141.88</v>
      </c>
      <c r="M53" s="205">
        <f t="shared" si="16"/>
        <v>0</v>
      </c>
      <c r="N53" s="205">
        <f t="shared" si="16"/>
        <v>0</v>
      </c>
      <c r="O53" s="205">
        <f t="shared" si="16"/>
        <v>124.33</v>
      </c>
    </row>
    <row r="54" spans="1:15">
      <c r="A54" s="2068">
        <v>17</v>
      </c>
      <c r="B54" s="198" t="s">
        <v>97</v>
      </c>
      <c r="C54" s="199">
        <v>239005</v>
      </c>
      <c r="D54" s="203">
        <f>ROUND((C54*(1+'Løntabel gældende fra'!$D$7%)),0)</f>
        <v>259299</v>
      </c>
      <c r="E54" s="201">
        <v>244114</v>
      </c>
      <c r="F54" s="202">
        <f>ROUND((E54*(1+'Løntabel gældende fra'!$D$7%)),0)</f>
        <v>264842</v>
      </c>
      <c r="G54" s="199">
        <v>247651</v>
      </c>
      <c r="H54" s="203">
        <f>ROUND((G54*(1+'Løntabel gældende fra'!$D$7%)),0)</f>
        <v>268679</v>
      </c>
      <c r="I54" s="201">
        <v>252759</v>
      </c>
      <c r="J54" s="202">
        <f>ROUND((I54*(1+'Løntabel gældende fra'!$D$7%)),0)</f>
        <v>274221</v>
      </c>
      <c r="K54" s="199">
        <v>256294</v>
      </c>
      <c r="L54" s="203">
        <f>ROUND((K54*(1+'Løntabel gældende fra'!$D$7%)),0)</f>
        <v>278056</v>
      </c>
      <c r="M54" s="436"/>
      <c r="N54" s="415">
        <v>224474.06</v>
      </c>
      <c r="O54" s="416">
        <f>ROUND(N54*(1+'Løntabel gældende fra'!$D$7%),2)</f>
        <v>243534.38</v>
      </c>
    </row>
    <row r="55" spans="1:15">
      <c r="A55" s="2069"/>
      <c r="B55" s="417" t="s">
        <v>240</v>
      </c>
      <c r="C55" s="422"/>
      <c r="D55" s="429">
        <f>ROUND(D54/12,2)</f>
        <v>21608.25</v>
      </c>
      <c r="E55" s="426">
        <f>E54/12</f>
        <v>20342.833333333332</v>
      </c>
      <c r="F55" s="411">
        <f>ROUND(F54/12,2)</f>
        <v>22070.17</v>
      </c>
      <c r="G55" s="422">
        <f>G54/12</f>
        <v>20637.583333333332</v>
      </c>
      <c r="H55" s="429">
        <f>ROUND(H54/12,2)</f>
        <v>22389.919999999998</v>
      </c>
      <c r="I55" s="426">
        <f>I54/12</f>
        <v>21063.25</v>
      </c>
      <c r="J55" s="411">
        <f>ROUND(J54/12,2)</f>
        <v>22851.75</v>
      </c>
      <c r="K55" s="422">
        <f>K54/12</f>
        <v>21357.833333333332</v>
      </c>
      <c r="L55" s="429">
        <f>ROUND(L54/12,2)</f>
        <v>23171.33</v>
      </c>
      <c r="M55" s="434"/>
      <c r="N55" s="412"/>
      <c r="O55" s="414">
        <f>ROUND(O54/12,2)</f>
        <v>20294.53</v>
      </c>
    </row>
    <row r="56" spans="1:15" ht="16" thickBot="1">
      <c r="A56" s="2072"/>
      <c r="B56" s="418" t="s">
        <v>233</v>
      </c>
      <c r="C56" s="425">
        <f>C54/12</f>
        <v>19917.083333333332</v>
      </c>
      <c r="D56" s="205">
        <f>ROUND(D55/160.33,2)</f>
        <v>134.77000000000001</v>
      </c>
      <c r="E56" s="428"/>
      <c r="F56" s="205">
        <f t="shared" ref="F56:O56" si="17">ROUND(F55/160.33,2)</f>
        <v>137.65</v>
      </c>
      <c r="G56" s="205">
        <f t="shared" si="17"/>
        <v>128.72</v>
      </c>
      <c r="H56" s="205">
        <f t="shared" si="17"/>
        <v>139.65</v>
      </c>
      <c r="I56" s="205">
        <f t="shared" si="17"/>
        <v>131.37</v>
      </c>
      <c r="J56" s="205">
        <f t="shared" si="17"/>
        <v>142.53</v>
      </c>
      <c r="K56" s="205">
        <f t="shared" si="17"/>
        <v>133.21</v>
      </c>
      <c r="L56" s="205">
        <f t="shared" si="17"/>
        <v>144.52000000000001</v>
      </c>
      <c r="M56" s="205">
        <f t="shared" si="17"/>
        <v>0</v>
      </c>
      <c r="N56" s="205">
        <f t="shared" si="17"/>
        <v>0</v>
      </c>
      <c r="O56" s="205">
        <f t="shared" si="17"/>
        <v>126.58</v>
      </c>
    </row>
    <row r="57" spans="1:15">
      <c r="A57" s="2071">
        <v>18</v>
      </c>
      <c r="B57" s="392" t="s">
        <v>97</v>
      </c>
      <c r="C57" s="207">
        <v>243387</v>
      </c>
      <c r="D57" s="200">
        <f>ROUND((C57*(1+'Løntabel gældende fra'!$D$7%)),0)</f>
        <v>264053</v>
      </c>
      <c r="E57" s="208">
        <v>248626</v>
      </c>
      <c r="F57" s="209">
        <f>ROUND((E57*(1+'Løntabel gældende fra'!$D$7%)),0)</f>
        <v>269737</v>
      </c>
      <c r="G57" s="207">
        <v>252252</v>
      </c>
      <c r="H57" s="200">
        <f>ROUND((G57*(1+'Løntabel gældende fra'!$D$7%)),0)</f>
        <v>273671</v>
      </c>
      <c r="I57" s="208">
        <v>257490</v>
      </c>
      <c r="J57" s="209">
        <f>ROUND((I57*(1+'Løntabel gældende fra'!$D$7%)),0)</f>
        <v>279354</v>
      </c>
      <c r="K57" s="207">
        <v>261115</v>
      </c>
      <c r="L57" s="200">
        <f>ROUND((K57*(1+'Løntabel gældende fra'!$D$7%)),0)</f>
        <v>283287</v>
      </c>
      <c r="M57" s="435"/>
      <c r="N57" s="413">
        <v>228579.5</v>
      </c>
      <c r="O57" s="214">
        <f>ROUND(N57*(1+'Løntabel gældende fra'!$D$7%),2)</f>
        <v>247988.41</v>
      </c>
    </row>
    <row r="58" spans="1:15">
      <c r="A58" s="2069"/>
      <c r="B58" s="417" t="s">
        <v>98</v>
      </c>
      <c r="C58" s="422"/>
      <c r="D58" s="429">
        <f>ROUND(D57/12,2)</f>
        <v>22004.42</v>
      </c>
      <c r="E58" s="426">
        <f>E57/12</f>
        <v>20718.833333333332</v>
      </c>
      <c r="F58" s="411">
        <f>ROUND(F57/12,2)</f>
        <v>22478.080000000002</v>
      </c>
      <c r="G58" s="422">
        <f>G57/12</f>
        <v>21021</v>
      </c>
      <c r="H58" s="429">
        <f>ROUND(H57/12,2)</f>
        <v>22805.919999999998</v>
      </c>
      <c r="I58" s="426">
        <f>I57/12</f>
        <v>21457.5</v>
      </c>
      <c r="J58" s="411">
        <f>ROUND(J57/12,2)</f>
        <v>23279.5</v>
      </c>
      <c r="K58" s="422">
        <f>K57/12</f>
        <v>21759.583333333332</v>
      </c>
      <c r="L58" s="429">
        <f>ROUND(L57/12,2)</f>
        <v>23607.25</v>
      </c>
      <c r="M58" s="434"/>
      <c r="N58" s="412"/>
      <c r="O58" s="414">
        <f>ROUND(O57/12,2)</f>
        <v>20665.7</v>
      </c>
    </row>
    <row r="59" spans="1:15" ht="16" thickBot="1">
      <c r="A59" s="2070"/>
      <c r="B59" s="394" t="s">
        <v>233</v>
      </c>
      <c r="C59" s="204">
        <f>C57/12</f>
        <v>20282.25</v>
      </c>
      <c r="D59" s="205">
        <f>ROUND(D58/160.33,2)</f>
        <v>137.24</v>
      </c>
      <c r="E59" s="427"/>
      <c r="F59" s="205">
        <f t="shared" ref="F59:O59" si="18">ROUND(F58/160.33,2)</f>
        <v>140.19999999999999</v>
      </c>
      <c r="G59" s="205">
        <f t="shared" si="18"/>
        <v>131.11000000000001</v>
      </c>
      <c r="H59" s="205">
        <f t="shared" si="18"/>
        <v>142.24</v>
      </c>
      <c r="I59" s="205">
        <f t="shared" si="18"/>
        <v>133.83000000000001</v>
      </c>
      <c r="J59" s="205">
        <f t="shared" si="18"/>
        <v>145.19999999999999</v>
      </c>
      <c r="K59" s="205">
        <f t="shared" si="18"/>
        <v>135.72</v>
      </c>
      <c r="L59" s="205">
        <f t="shared" si="18"/>
        <v>147.24</v>
      </c>
      <c r="M59" s="205">
        <f t="shared" si="18"/>
        <v>0</v>
      </c>
      <c r="N59" s="205">
        <f t="shared" si="18"/>
        <v>0</v>
      </c>
      <c r="O59" s="205">
        <f t="shared" si="18"/>
        <v>128.88999999999999</v>
      </c>
    </row>
    <row r="60" spans="1:15">
      <c r="A60" s="2068">
        <v>19</v>
      </c>
      <c r="B60" s="198" t="s">
        <v>97</v>
      </c>
      <c r="C60" s="199">
        <v>246657</v>
      </c>
      <c r="D60" s="203">
        <f>ROUND((C60*(1+'Løntabel gældende fra'!$D$7%)),0)</f>
        <v>267601</v>
      </c>
      <c r="E60" s="201">
        <v>252029</v>
      </c>
      <c r="F60" s="202">
        <f>ROUND((E60*(1+'Løntabel gældende fra'!$D$7%)),0)</f>
        <v>273429</v>
      </c>
      <c r="G60" s="199">
        <v>255746</v>
      </c>
      <c r="H60" s="203">
        <f>ROUND((G60*(1+'Løntabel gældende fra'!$D$7%)),0)</f>
        <v>277462</v>
      </c>
      <c r="I60" s="201">
        <v>261119</v>
      </c>
      <c r="J60" s="202">
        <f>ROUND((I60*(1+'Løntabel gældende fra'!$D$7%)),0)</f>
        <v>283291</v>
      </c>
      <c r="K60" s="199">
        <v>264839</v>
      </c>
      <c r="L60" s="203">
        <f>ROUND((K60*(1+'Løntabel gældende fra'!$D$7%)),0)</f>
        <v>287327</v>
      </c>
      <c r="M60" s="436"/>
      <c r="N60" s="415">
        <v>232796.81</v>
      </c>
      <c r="O60" s="416">
        <f>ROUND(N60*(1+'Løntabel gældende fra'!$D$7%),2)</f>
        <v>252563.82</v>
      </c>
    </row>
    <row r="61" spans="1:15">
      <c r="A61" s="2069"/>
      <c r="B61" s="417" t="s">
        <v>240</v>
      </c>
      <c r="C61" s="422"/>
      <c r="D61" s="429">
        <f>ROUND(D60/12,2)</f>
        <v>22300.080000000002</v>
      </c>
      <c r="E61" s="426">
        <f>E60/12</f>
        <v>21002.416666666668</v>
      </c>
      <c r="F61" s="411">
        <f>ROUND(F60/12,2)</f>
        <v>22785.75</v>
      </c>
      <c r="G61" s="422">
        <f>G60/12</f>
        <v>21312.166666666668</v>
      </c>
      <c r="H61" s="429">
        <f>ROUND(H60/12,2)</f>
        <v>23121.83</v>
      </c>
      <c r="I61" s="426">
        <f>I60/12</f>
        <v>21759.916666666668</v>
      </c>
      <c r="J61" s="411">
        <f>ROUND(J60/12,2)</f>
        <v>23607.58</v>
      </c>
      <c r="K61" s="422">
        <f>K60/12</f>
        <v>22069.916666666668</v>
      </c>
      <c r="L61" s="429">
        <f>ROUND(L60/12,2)</f>
        <v>23943.919999999998</v>
      </c>
      <c r="M61" s="434"/>
      <c r="N61" s="412"/>
      <c r="O61" s="414">
        <f>ROUND(O60/12,2)</f>
        <v>21046.99</v>
      </c>
    </row>
    <row r="62" spans="1:15" ht="16" thickBot="1">
      <c r="A62" s="2072"/>
      <c r="B62" s="418" t="s">
        <v>233</v>
      </c>
      <c r="C62" s="425">
        <f>C60/12</f>
        <v>20554.75</v>
      </c>
      <c r="D62" s="205">
        <f>ROUND(D61/160.33,2)</f>
        <v>139.09</v>
      </c>
      <c r="E62" s="428"/>
      <c r="F62" s="205">
        <f t="shared" ref="F62:O62" si="19">ROUND(F61/160.33,2)</f>
        <v>142.12</v>
      </c>
      <c r="G62" s="205">
        <f t="shared" si="19"/>
        <v>132.93</v>
      </c>
      <c r="H62" s="205">
        <f t="shared" si="19"/>
        <v>144.21</v>
      </c>
      <c r="I62" s="205">
        <f t="shared" si="19"/>
        <v>135.72</v>
      </c>
      <c r="J62" s="205">
        <f t="shared" si="19"/>
        <v>147.24</v>
      </c>
      <c r="K62" s="205">
        <f t="shared" si="19"/>
        <v>137.65</v>
      </c>
      <c r="L62" s="205">
        <f t="shared" si="19"/>
        <v>149.34</v>
      </c>
      <c r="M62" s="205">
        <f t="shared" si="19"/>
        <v>0</v>
      </c>
      <c r="N62" s="205">
        <f t="shared" si="19"/>
        <v>0</v>
      </c>
      <c r="O62" s="205">
        <f t="shared" si="19"/>
        <v>131.27000000000001</v>
      </c>
    </row>
    <row r="63" spans="1:15">
      <c r="A63" s="2071">
        <v>20</v>
      </c>
      <c r="B63" s="392" t="s">
        <v>97</v>
      </c>
      <c r="C63" s="207">
        <v>250053</v>
      </c>
      <c r="D63" s="200">
        <f>ROUND((C63*(1+'Løntabel gældende fra'!$D$7%)),0)</f>
        <v>271285</v>
      </c>
      <c r="E63" s="208">
        <v>255560</v>
      </c>
      <c r="F63" s="209">
        <f>ROUND((E63*(1+'Løntabel gældende fra'!$D$7%)),0)</f>
        <v>277260</v>
      </c>
      <c r="G63" s="207">
        <v>259374</v>
      </c>
      <c r="H63" s="200">
        <f>ROUND((G63*(1+'Løntabel gældende fra'!$D$7%)),0)</f>
        <v>281398</v>
      </c>
      <c r="I63" s="208">
        <v>264882</v>
      </c>
      <c r="J63" s="209">
        <f>ROUND((I63*(1+'Løntabel gældende fra'!$D$7%)),0)</f>
        <v>287373</v>
      </c>
      <c r="K63" s="207">
        <v>268694</v>
      </c>
      <c r="L63" s="200">
        <f>ROUND((K63*(1+'Løntabel gældende fra'!$D$7%)),0)</f>
        <v>291509</v>
      </c>
      <c r="M63" s="435"/>
      <c r="N63" s="413">
        <v>237129.61</v>
      </c>
      <c r="O63" s="214">
        <f>ROUND(N63*(1+'Løntabel gældende fra'!$D$7%),2)</f>
        <v>257264.52</v>
      </c>
    </row>
    <row r="64" spans="1:15">
      <c r="A64" s="2069"/>
      <c r="B64" s="417" t="s">
        <v>98</v>
      </c>
      <c r="C64" s="422"/>
      <c r="D64" s="429">
        <f>ROUND(D63/12,2)</f>
        <v>22607.08</v>
      </c>
      <c r="E64" s="426">
        <f>E63/12</f>
        <v>21296.666666666668</v>
      </c>
      <c r="F64" s="411">
        <f>ROUND(F63/12,2)</f>
        <v>23105</v>
      </c>
      <c r="G64" s="422">
        <f>G63/12</f>
        <v>21614.5</v>
      </c>
      <c r="H64" s="429">
        <f>ROUND(H63/12,2)</f>
        <v>23449.83</v>
      </c>
      <c r="I64" s="426">
        <f>I63/12</f>
        <v>22073.5</v>
      </c>
      <c r="J64" s="411">
        <f>ROUND(J63/12,2)</f>
        <v>23947.75</v>
      </c>
      <c r="K64" s="422">
        <f>K63/12</f>
        <v>22391.166666666668</v>
      </c>
      <c r="L64" s="429">
        <f>ROUND(L63/12,2)</f>
        <v>24292.42</v>
      </c>
      <c r="M64" s="434"/>
      <c r="N64" s="412"/>
      <c r="O64" s="414">
        <f>ROUND(O63/12,2)</f>
        <v>21438.71</v>
      </c>
    </row>
    <row r="65" spans="1:15" ht="16" thickBot="1">
      <c r="A65" s="2070"/>
      <c r="B65" s="394" t="s">
        <v>233</v>
      </c>
      <c r="C65" s="204">
        <f>C63/12</f>
        <v>20837.75</v>
      </c>
      <c r="D65" s="205">
        <f>ROUND(D64/160.33,2)</f>
        <v>141</v>
      </c>
      <c r="E65" s="427"/>
      <c r="F65" s="205">
        <f t="shared" ref="F65:O65" si="20">ROUND(F64/160.33,2)</f>
        <v>144.11000000000001</v>
      </c>
      <c r="G65" s="205">
        <f t="shared" si="20"/>
        <v>134.81</v>
      </c>
      <c r="H65" s="205">
        <f t="shared" si="20"/>
        <v>146.26</v>
      </c>
      <c r="I65" s="205">
        <f t="shared" si="20"/>
        <v>137.68</v>
      </c>
      <c r="J65" s="205">
        <f t="shared" si="20"/>
        <v>149.37</v>
      </c>
      <c r="K65" s="205">
        <f t="shared" si="20"/>
        <v>139.66</v>
      </c>
      <c r="L65" s="205">
        <f t="shared" si="20"/>
        <v>151.52000000000001</v>
      </c>
      <c r="M65" s="205">
        <f t="shared" si="20"/>
        <v>0</v>
      </c>
      <c r="N65" s="205">
        <f t="shared" si="20"/>
        <v>0</v>
      </c>
      <c r="O65" s="205">
        <f t="shared" si="20"/>
        <v>133.72</v>
      </c>
    </row>
    <row r="66" spans="1:15">
      <c r="A66" s="2068">
        <v>21</v>
      </c>
      <c r="B66" s="198" t="s">
        <v>97</v>
      </c>
      <c r="C66" s="199">
        <v>254192</v>
      </c>
      <c r="D66" s="203">
        <f>ROUND((C66*(1+'Løntabel gældende fra'!$D$7%)),0)</f>
        <v>275776</v>
      </c>
      <c r="E66" s="201">
        <v>259841</v>
      </c>
      <c r="F66" s="202">
        <f>ROUND((E66*(1+'Løntabel gældende fra'!$D$7%)),0)</f>
        <v>281904</v>
      </c>
      <c r="G66" s="199">
        <v>263752</v>
      </c>
      <c r="H66" s="203">
        <f>ROUND((G66*(1+'Løntabel gældende fra'!$D$7%)),0)</f>
        <v>286147</v>
      </c>
      <c r="I66" s="201">
        <v>269401</v>
      </c>
      <c r="J66" s="202">
        <f>ROUND((I66*(1+'Løntabel gældende fra'!$D$7%)),0)</f>
        <v>292276</v>
      </c>
      <c r="K66" s="199">
        <v>273312</v>
      </c>
      <c r="L66" s="203">
        <f>ROUND((K66*(1+'Løntabel gældende fra'!$D$7%)),0)</f>
        <v>296519</v>
      </c>
      <c r="M66" s="436"/>
      <c r="N66" s="415">
        <v>241583.32</v>
      </c>
      <c r="O66" s="416">
        <f>ROUND(N66*(1+'Løntabel gældende fra'!$D$7%),2)</f>
        <v>262096.4</v>
      </c>
    </row>
    <row r="67" spans="1:15">
      <c r="A67" s="2069"/>
      <c r="B67" s="417" t="s">
        <v>240</v>
      </c>
      <c r="C67" s="422"/>
      <c r="D67" s="429">
        <f>ROUND(D66/12,2)</f>
        <v>22981.33</v>
      </c>
      <c r="E67" s="426">
        <f>E66/12</f>
        <v>21653.416666666668</v>
      </c>
      <c r="F67" s="411">
        <f>ROUND(F66/12,2)</f>
        <v>23492</v>
      </c>
      <c r="G67" s="422">
        <f>G66/12</f>
        <v>21979.333333333332</v>
      </c>
      <c r="H67" s="429">
        <f>ROUND(H66/12,2)</f>
        <v>23845.58</v>
      </c>
      <c r="I67" s="426">
        <f>I66/12</f>
        <v>22450.083333333332</v>
      </c>
      <c r="J67" s="411">
        <f>ROUND(J66/12,2)</f>
        <v>24356.33</v>
      </c>
      <c r="K67" s="422">
        <f>K66/12</f>
        <v>22776</v>
      </c>
      <c r="L67" s="429">
        <f>ROUND(L66/12,2)</f>
        <v>24709.919999999998</v>
      </c>
      <c r="M67" s="434"/>
      <c r="N67" s="412"/>
      <c r="O67" s="414">
        <f>ROUND(O66/12,2)</f>
        <v>21841.37</v>
      </c>
    </row>
    <row r="68" spans="1:15" ht="16" thickBot="1">
      <c r="A68" s="2072"/>
      <c r="B68" s="418" t="s">
        <v>233</v>
      </c>
      <c r="C68" s="425">
        <f>C66/12</f>
        <v>21182.666666666668</v>
      </c>
      <c r="D68" s="205">
        <f>ROUND(D67/160.33,2)</f>
        <v>143.34</v>
      </c>
      <c r="E68" s="428"/>
      <c r="F68" s="205">
        <f t="shared" ref="F68:O68" si="21">ROUND(F67/160.33,2)</f>
        <v>146.52000000000001</v>
      </c>
      <c r="G68" s="205">
        <f t="shared" si="21"/>
        <v>137.09</v>
      </c>
      <c r="H68" s="205">
        <f t="shared" si="21"/>
        <v>148.72999999999999</v>
      </c>
      <c r="I68" s="205">
        <f t="shared" si="21"/>
        <v>140.02000000000001</v>
      </c>
      <c r="J68" s="205">
        <f t="shared" si="21"/>
        <v>151.91</v>
      </c>
      <c r="K68" s="205">
        <f t="shared" si="21"/>
        <v>142.06</v>
      </c>
      <c r="L68" s="205">
        <f t="shared" si="21"/>
        <v>154.12</v>
      </c>
      <c r="M68" s="205">
        <f t="shared" si="21"/>
        <v>0</v>
      </c>
      <c r="N68" s="205">
        <f t="shared" si="21"/>
        <v>0</v>
      </c>
      <c r="O68" s="205">
        <f t="shared" si="21"/>
        <v>136.22999999999999</v>
      </c>
    </row>
    <row r="69" spans="1:15">
      <c r="A69" s="2071">
        <v>22</v>
      </c>
      <c r="B69" s="211" t="s">
        <v>97</v>
      </c>
      <c r="C69" s="207">
        <v>258027</v>
      </c>
      <c r="D69" s="200">
        <f>ROUND((C69*(1+'Løntabel gældende fra'!$D$7%)),0)</f>
        <v>279936</v>
      </c>
      <c r="E69" s="208">
        <v>263676</v>
      </c>
      <c r="F69" s="209">
        <f>ROUND((E69*(1+'Løntabel gældende fra'!$D$7%)),0)</f>
        <v>286065</v>
      </c>
      <c r="G69" s="207">
        <v>267587</v>
      </c>
      <c r="H69" s="200">
        <f>ROUND((G69*(1+'Løntabel gældende fra'!$D$7%)),0)</f>
        <v>290308</v>
      </c>
      <c r="I69" s="208">
        <v>273236</v>
      </c>
      <c r="J69" s="209">
        <f>ROUND((I69*(1+'Løntabel gældende fra'!$D$7%)),0)</f>
        <v>296437</v>
      </c>
      <c r="K69" s="207">
        <v>277147</v>
      </c>
      <c r="L69" s="200">
        <f>ROUND((K69*(1+'Løntabel gældende fra'!$D$7%)),0)</f>
        <v>300680</v>
      </c>
      <c r="M69" s="435"/>
      <c r="N69" s="413">
        <v>246033.33</v>
      </c>
      <c r="O69" s="214">
        <f>ROUND(N69*(1+'Løntabel gældende fra'!$D$7%),2)</f>
        <v>266924.27</v>
      </c>
    </row>
    <row r="70" spans="1:15">
      <c r="A70" s="2069"/>
      <c r="B70" s="419" t="s">
        <v>240</v>
      </c>
      <c r="C70" s="422"/>
      <c r="D70" s="429">
        <f>ROUND(D69/12,2)</f>
        <v>23328</v>
      </c>
      <c r="E70" s="426">
        <f>E69/12</f>
        <v>21973</v>
      </c>
      <c r="F70" s="411">
        <f>ROUND(F69/12,2)</f>
        <v>23838.75</v>
      </c>
      <c r="G70" s="422">
        <f>G69/12</f>
        <v>22298.916666666668</v>
      </c>
      <c r="H70" s="429">
        <f>ROUND(H69/12,2)</f>
        <v>24192.33</v>
      </c>
      <c r="I70" s="426">
        <f>I69/12</f>
        <v>22769.666666666668</v>
      </c>
      <c r="J70" s="411">
        <f>ROUND(J69/12,2)</f>
        <v>24703.08</v>
      </c>
      <c r="K70" s="422">
        <f>K69/12</f>
        <v>23095.583333333332</v>
      </c>
      <c r="L70" s="429">
        <f>ROUND(L69/12,2)</f>
        <v>25056.67</v>
      </c>
      <c r="M70" s="434"/>
      <c r="N70" s="412"/>
      <c r="O70" s="414">
        <f>ROUND(O69/12,2)</f>
        <v>22243.69</v>
      </c>
    </row>
    <row r="71" spans="1:15" ht="16" thickBot="1">
      <c r="A71" s="2070"/>
      <c r="B71" s="420" t="s">
        <v>233</v>
      </c>
      <c r="C71" s="204">
        <v>262137</v>
      </c>
      <c r="D71" s="205">
        <f>ROUND(D70/160.33,2)</f>
        <v>145.5</v>
      </c>
      <c r="E71" s="427"/>
      <c r="F71" s="205">
        <f t="shared" ref="F71:O71" si="22">ROUND(F70/160.33,2)</f>
        <v>148.69</v>
      </c>
      <c r="G71" s="205">
        <f t="shared" si="22"/>
        <v>139.08000000000001</v>
      </c>
      <c r="H71" s="205">
        <f t="shared" si="22"/>
        <v>150.88999999999999</v>
      </c>
      <c r="I71" s="205">
        <f t="shared" si="22"/>
        <v>142.02000000000001</v>
      </c>
      <c r="J71" s="205">
        <f t="shared" si="22"/>
        <v>154.08000000000001</v>
      </c>
      <c r="K71" s="205">
        <f t="shared" si="22"/>
        <v>144.05000000000001</v>
      </c>
      <c r="L71" s="205">
        <f t="shared" si="22"/>
        <v>156.28</v>
      </c>
      <c r="M71" s="205">
        <f t="shared" si="22"/>
        <v>0</v>
      </c>
      <c r="N71" s="205">
        <f t="shared" si="22"/>
        <v>0</v>
      </c>
      <c r="O71" s="205">
        <f t="shared" si="22"/>
        <v>138.74</v>
      </c>
    </row>
    <row r="72" spans="1:15">
      <c r="A72" s="2068">
        <v>23</v>
      </c>
      <c r="B72" s="210" t="s">
        <v>97</v>
      </c>
      <c r="C72" s="199">
        <v>262137</v>
      </c>
      <c r="D72" s="203">
        <f>ROUND((C72*(1+'Løntabel gældende fra'!$D$7%)),0)</f>
        <v>284395</v>
      </c>
      <c r="E72" s="201">
        <v>267629</v>
      </c>
      <c r="F72" s="202">
        <f>ROUND((E72*(1+'Løntabel gældende fra'!$D$7%)),0)</f>
        <v>290354</v>
      </c>
      <c r="G72" s="199">
        <v>271434</v>
      </c>
      <c r="H72" s="203">
        <f>ROUND((G72*(1+'Løntabel gældende fra'!$D$7%)),0)</f>
        <v>294482</v>
      </c>
      <c r="I72" s="201">
        <v>276928</v>
      </c>
      <c r="J72" s="202">
        <f>ROUND((I72*(1+'Løntabel gældende fra'!$D$7%)),0)</f>
        <v>300442</v>
      </c>
      <c r="K72" s="199">
        <v>280730</v>
      </c>
      <c r="L72" s="203">
        <f>ROUND((K72*(1+'Løntabel gældende fra'!$D$7%)),0)</f>
        <v>304567</v>
      </c>
      <c r="M72" s="436"/>
      <c r="N72" s="415">
        <v>250472.55</v>
      </c>
      <c r="O72" s="416">
        <f>ROUND(N72*(1+'Løntabel gældende fra'!$D$7%),2)</f>
        <v>271740.42</v>
      </c>
    </row>
    <row r="73" spans="1:15">
      <c r="A73" s="2069"/>
      <c r="B73" s="419" t="s">
        <v>240</v>
      </c>
      <c r="C73" s="422"/>
      <c r="D73" s="429">
        <f>ROUND(D72/12,2)</f>
        <v>23699.58</v>
      </c>
      <c r="E73" s="426">
        <f>E72/12</f>
        <v>22302.416666666668</v>
      </c>
      <c r="F73" s="411">
        <f>ROUND(F72/12,2)</f>
        <v>24196.17</v>
      </c>
      <c r="G73" s="422">
        <f>G72/12</f>
        <v>22619.5</v>
      </c>
      <c r="H73" s="429">
        <f>ROUND(H72/12,2)</f>
        <v>24540.17</v>
      </c>
      <c r="I73" s="426">
        <f>I72/12</f>
        <v>23077.333333333332</v>
      </c>
      <c r="J73" s="411">
        <f>ROUND(J72/12,2)</f>
        <v>25036.83</v>
      </c>
      <c r="K73" s="422">
        <f>K72/12</f>
        <v>23394.166666666668</v>
      </c>
      <c r="L73" s="429">
        <f>ROUND(L72/12,2)</f>
        <v>25380.58</v>
      </c>
      <c r="M73" s="434"/>
      <c r="N73" s="412"/>
      <c r="O73" s="414">
        <f>ROUND(O72/12,2)</f>
        <v>22645.040000000001</v>
      </c>
    </row>
    <row r="74" spans="1:15" ht="16" thickBot="1">
      <c r="A74" s="2072"/>
      <c r="B74" s="421" t="s">
        <v>233</v>
      </c>
      <c r="C74" s="425">
        <f>C72/12</f>
        <v>21844.75</v>
      </c>
      <c r="D74" s="205">
        <f>ROUND(D73/160.33,2)</f>
        <v>147.82</v>
      </c>
      <c r="E74" s="428"/>
      <c r="F74" s="205">
        <f t="shared" ref="F74:O74" si="23">ROUND(F73/160.33,2)</f>
        <v>150.91</v>
      </c>
      <c r="G74" s="205">
        <f t="shared" si="23"/>
        <v>141.08000000000001</v>
      </c>
      <c r="H74" s="205">
        <f t="shared" si="23"/>
        <v>153.06</v>
      </c>
      <c r="I74" s="205">
        <f t="shared" si="23"/>
        <v>143.94</v>
      </c>
      <c r="J74" s="205">
        <f t="shared" si="23"/>
        <v>156.16</v>
      </c>
      <c r="K74" s="205">
        <f t="shared" si="23"/>
        <v>145.91</v>
      </c>
      <c r="L74" s="205">
        <f t="shared" si="23"/>
        <v>158.30000000000001</v>
      </c>
      <c r="M74" s="205">
        <f t="shared" si="23"/>
        <v>0</v>
      </c>
      <c r="N74" s="205">
        <f t="shared" si="23"/>
        <v>0</v>
      </c>
      <c r="O74" s="205">
        <f t="shared" si="23"/>
        <v>141.24</v>
      </c>
    </row>
    <row r="75" spans="1:15">
      <c r="A75" s="2071">
        <v>24</v>
      </c>
      <c r="B75" s="211" t="s">
        <v>97</v>
      </c>
      <c r="C75" s="207">
        <v>266372</v>
      </c>
      <c r="D75" s="200">
        <f>ROUND((C75*(1+'Løntabel gældende fra'!$D$7%)),0)</f>
        <v>288990</v>
      </c>
      <c r="E75" s="208">
        <v>271710</v>
      </c>
      <c r="F75" s="209">
        <f>ROUND((E75*(1+'Løntabel gældende fra'!$D$7%)),0)</f>
        <v>294781</v>
      </c>
      <c r="G75" s="207">
        <v>275406</v>
      </c>
      <c r="H75" s="200">
        <f>ROUND((G75*(1+'Løntabel gældende fra'!$D$7%)),0)</f>
        <v>298791</v>
      </c>
      <c r="I75" s="208">
        <v>280745</v>
      </c>
      <c r="J75" s="209">
        <f>ROUND((I75*(1+'Løntabel gældende fra'!$D$7%)),0)</f>
        <v>304583</v>
      </c>
      <c r="K75" s="207">
        <v>284441</v>
      </c>
      <c r="L75" s="200">
        <f>ROUND((K75*(1+'Løntabel gældende fra'!$D$7%)),0)</f>
        <v>308593</v>
      </c>
      <c r="M75" s="435"/>
      <c r="N75" s="413">
        <v>255037.97</v>
      </c>
      <c r="O75" s="214">
        <f>ROUND(N75*(1+'Løntabel gældende fra'!$D$7%),2)</f>
        <v>276693.5</v>
      </c>
    </row>
    <row r="76" spans="1:15">
      <c r="A76" s="2069"/>
      <c r="B76" s="419" t="s">
        <v>240</v>
      </c>
      <c r="C76" s="422"/>
      <c r="D76" s="429">
        <f>ROUND(D75/12,2)</f>
        <v>24082.5</v>
      </c>
      <c r="E76" s="426">
        <f>E75/12</f>
        <v>22642.5</v>
      </c>
      <c r="F76" s="411">
        <f>ROUND(F75/12,2)</f>
        <v>24565.08</v>
      </c>
      <c r="G76" s="422">
        <f>G75/12</f>
        <v>22950.5</v>
      </c>
      <c r="H76" s="429">
        <f>ROUND(H75/12,2)</f>
        <v>24899.25</v>
      </c>
      <c r="I76" s="426">
        <f>I75/12</f>
        <v>23395.416666666668</v>
      </c>
      <c r="J76" s="411">
        <f>ROUND(J75/12,2)</f>
        <v>25381.919999999998</v>
      </c>
      <c r="K76" s="422">
        <f>K75/12</f>
        <v>23703.416666666668</v>
      </c>
      <c r="L76" s="429">
        <f>ROUND(L75/12,2)</f>
        <v>25716.080000000002</v>
      </c>
      <c r="M76" s="434"/>
      <c r="N76" s="412"/>
      <c r="O76" s="414">
        <f>ROUND(O75/12,2)</f>
        <v>23057.79</v>
      </c>
    </row>
    <row r="77" spans="1:15" ht="16" thickBot="1">
      <c r="A77" s="2070"/>
      <c r="B77" s="420" t="s">
        <v>233</v>
      </c>
      <c r="C77" s="204">
        <f>C75/12</f>
        <v>22197.666666666668</v>
      </c>
      <c r="D77" s="205">
        <f>ROUND(D76/160.33,2)</f>
        <v>150.21</v>
      </c>
      <c r="E77" s="427"/>
      <c r="F77" s="205">
        <f t="shared" ref="F77:O77" si="24">ROUND(F76/160.33,2)</f>
        <v>153.22</v>
      </c>
      <c r="G77" s="205">
        <f t="shared" si="24"/>
        <v>143.15</v>
      </c>
      <c r="H77" s="205">
        <f t="shared" si="24"/>
        <v>155.30000000000001</v>
      </c>
      <c r="I77" s="205">
        <f t="shared" si="24"/>
        <v>145.91999999999999</v>
      </c>
      <c r="J77" s="205">
        <f t="shared" si="24"/>
        <v>158.31</v>
      </c>
      <c r="K77" s="205">
        <f t="shared" si="24"/>
        <v>147.84</v>
      </c>
      <c r="L77" s="205">
        <f t="shared" si="24"/>
        <v>160.38999999999999</v>
      </c>
      <c r="M77" s="205">
        <f t="shared" si="24"/>
        <v>0</v>
      </c>
      <c r="N77" s="205">
        <f t="shared" si="24"/>
        <v>0</v>
      </c>
      <c r="O77" s="205">
        <f t="shared" si="24"/>
        <v>143.81</v>
      </c>
    </row>
    <row r="78" spans="1:15">
      <c r="A78" s="2068">
        <v>25</v>
      </c>
      <c r="B78" s="210" t="s">
        <v>97</v>
      </c>
      <c r="C78" s="199">
        <v>270701</v>
      </c>
      <c r="D78" s="203">
        <f>ROUND((C78*(1+'Løntabel gældende fra'!$D$7%)),0)</f>
        <v>293686</v>
      </c>
      <c r="E78" s="201">
        <v>275873</v>
      </c>
      <c r="F78" s="202">
        <f>ROUND((E78*(1+'Løntabel gældende fra'!$D$7%)),0)</f>
        <v>299298</v>
      </c>
      <c r="G78" s="199">
        <v>279454</v>
      </c>
      <c r="H78" s="203">
        <f>ROUND((G78*(1+'Løntabel gældende fra'!$D$7%)),0)</f>
        <v>303183</v>
      </c>
      <c r="I78" s="201">
        <v>284626</v>
      </c>
      <c r="J78" s="202">
        <f>ROUND((I78*(1+'Løntabel gældende fra'!$D$7%)),0)</f>
        <v>308794</v>
      </c>
      <c r="K78" s="199">
        <v>288206</v>
      </c>
      <c r="L78" s="203">
        <f>ROUND((K78*(1+'Løntabel gældende fra'!$D$7%)),0)</f>
        <v>312678</v>
      </c>
      <c r="M78" s="436"/>
      <c r="N78" s="415">
        <v>259721.7</v>
      </c>
      <c r="O78" s="416">
        <f>ROUND(N78*(1+'Løntabel gældende fra'!$D$7%),2)</f>
        <v>281774.93</v>
      </c>
    </row>
    <row r="79" spans="1:15">
      <c r="A79" s="2069"/>
      <c r="B79" s="419" t="s">
        <v>240</v>
      </c>
      <c r="C79" s="422"/>
      <c r="D79" s="429">
        <f>ROUND(D78/12,2)</f>
        <v>24473.83</v>
      </c>
      <c r="E79" s="426">
        <f>E78/12</f>
        <v>22989.416666666668</v>
      </c>
      <c r="F79" s="411">
        <f>ROUND(F78/12,2)</f>
        <v>24941.5</v>
      </c>
      <c r="G79" s="422">
        <f>G78/12</f>
        <v>23287.833333333332</v>
      </c>
      <c r="H79" s="429">
        <f>ROUND(H78/12,2)</f>
        <v>25265.25</v>
      </c>
      <c r="I79" s="426">
        <f>I78/12</f>
        <v>23718.833333333332</v>
      </c>
      <c r="J79" s="411">
        <f>ROUND(J78/12,2)</f>
        <v>25732.83</v>
      </c>
      <c r="K79" s="422">
        <f>K78/12</f>
        <v>24017.166666666668</v>
      </c>
      <c r="L79" s="429">
        <f>ROUND(L78/12,2)</f>
        <v>26056.5</v>
      </c>
      <c r="M79" s="434"/>
      <c r="N79" s="412"/>
      <c r="O79" s="414">
        <f>ROUND(O78/12,2)</f>
        <v>23481.24</v>
      </c>
    </row>
    <row r="80" spans="1:15" ht="16" thickBot="1">
      <c r="A80" s="2072"/>
      <c r="B80" s="421" t="s">
        <v>233</v>
      </c>
      <c r="C80" s="425">
        <f>C78/12</f>
        <v>22558.416666666668</v>
      </c>
      <c r="D80" s="205">
        <f>ROUND(D79/160.33,2)</f>
        <v>152.65</v>
      </c>
      <c r="E80" s="428"/>
      <c r="F80" s="205">
        <f t="shared" ref="F80:O80" si="25">ROUND(F79/160.33,2)</f>
        <v>155.56</v>
      </c>
      <c r="G80" s="205">
        <f t="shared" si="25"/>
        <v>145.25</v>
      </c>
      <c r="H80" s="205">
        <f t="shared" si="25"/>
        <v>157.58000000000001</v>
      </c>
      <c r="I80" s="205">
        <f t="shared" si="25"/>
        <v>147.94</v>
      </c>
      <c r="J80" s="205">
        <f t="shared" si="25"/>
        <v>160.5</v>
      </c>
      <c r="K80" s="205">
        <f t="shared" si="25"/>
        <v>149.80000000000001</v>
      </c>
      <c r="L80" s="205">
        <f t="shared" si="25"/>
        <v>162.52000000000001</v>
      </c>
      <c r="M80" s="205">
        <f t="shared" si="25"/>
        <v>0</v>
      </c>
      <c r="N80" s="205">
        <f t="shared" si="25"/>
        <v>0</v>
      </c>
      <c r="O80" s="205">
        <f t="shared" si="25"/>
        <v>146.46</v>
      </c>
    </row>
    <row r="81" spans="1:15">
      <c r="A81" s="2071">
        <v>26</v>
      </c>
      <c r="B81" s="211" t="s">
        <v>97</v>
      </c>
      <c r="C81" s="207">
        <v>275131</v>
      </c>
      <c r="D81" s="200">
        <f>ROUND((C81*(1+'Løntabel gældende fra'!$D$7%)),0)</f>
        <v>298493</v>
      </c>
      <c r="E81" s="208">
        <v>280123</v>
      </c>
      <c r="F81" s="209">
        <f>ROUND((E81*(1+'Løntabel gældende fra'!$D$7%)),0)</f>
        <v>303909</v>
      </c>
      <c r="G81" s="207">
        <v>283580</v>
      </c>
      <c r="H81" s="200">
        <f>ROUND((G81*(1+'Løntabel gældende fra'!$D$7%)),0)</f>
        <v>307659</v>
      </c>
      <c r="I81" s="208">
        <v>288573</v>
      </c>
      <c r="J81" s="209">
        <f>ROUND((I81*(1+'Løntabel gældende fra'!$D$7%)),0)</f>
        <v>313076</v>
      </c>
      <c r="K81" s="207">
        <v>292029</v>
      </c>
      <c r="L81" s="200">
        <f>ROUND((K81*(1+'Løntabel gældende fra'!$D$7%)),0)</f>
        <v>316825</v>
      </c>
      <c r="M81" s="435"/>
      <c r="N81" s="413">
        <v>264528.59000000003</v>
      </c>
      <c r="O81" s="214">
        <f>ROUND(N81*(1+'Løntabel gældende fra'!$D$7%),2)</f>
        <v>286989.98</v>
      </c>
    </row>
    <row r="82" spans="1:15">
      <c r="A82" s="2069"/>
      <c r="B82" s="419" t="s">
        <v>240</v>
      </c>
      <c r="C82" s="422"/>
      <c r="D82" s="429">
        <f>ROUND(D81/12,2)</f>
        <v>24874.42</v>
      </c>
      <c r="E82" s="426">
        <f>E81/12</f>
        <v>23343.583333333332</v>
      </c>
      <c r="F82" s="411">
        <f>ROUND(F81/12,2)</f>
        <v>25325.75</v>
      </c>
      <c r="G82" s="422">
        <f>G81/12</f>
        <v>23631.666666666668</v>
      </c>
      <c r="H82" s="429">
        <f>ROUND(H81/12,2)</f>
        <v>25638.25</v>
      </c>
      <c r="I82" s="426">
        <f>I81/12</f>
        <v>24047.75</v>
      </c>
      <c r="J82" s="411">
        <f>ROUND(J81/12,2)</f>
        <v>26089.67</v>
      </c>
      <c r="K82" s="422">
        <f>K81/12</f>
        <v>24335.75</v>
      </c>
      <c r="L82" s="429">
        <f>ROUND(L81/12,2)</f>
        <v>26402.080000000002</v>
      </c>
      <c r="M82" s="434"/>
      <c r="N82" s="412"/>
      <c r="O82" s="414">
        <f>ROUND(O81/12,2)</f>
        <v>23915.83</v>
      </c>
    </row>
    <row r="83" spans="1:15" ht="16" thickBot="1">
      <c r="A83" s="2070"/>
      <c r="B83" s="420" t="s">
        <v>233</v>
      </c>
      <c r="C83" s="204">
        <f>C81/12</f>
        <v>22927.583333333332</v>
      </c>
      <c r="D83" s="205">
        <f>ROUND(D82/160.33,2)</f>
        <v>155.15</v>
      </c>
      <c r="E83" s="427"/>
      <c r="F83" s="205">
        <f t="shared" ref="F83:O83" si="26">ROUND(F82/160.33,2)</f>
        <v>157.96</v>
      </c>
      <c r="G83" s="205">
        <f t="shared" si="26"/>
        <v>147.38999999999999</v>
      </c>
      <c r="H83" s="205">
        <f t="shared" si="26"/>
        <v>159.91</v>
      </c>
      <c r="I83" s="205">
        <f t="shared" si="26"/>
        <v>149.99</v>
      </c>
      <c r="J83" s="205">
        <f t="shared" si="26"/>
        <v>162.72</v>
      </c>
      <c r="K83" s="205">
        <f t="shared" si="26"/>
        <v>151.79</v>
      </c>
      <c r="L83" s="205">
        <f t="shared" si="26"/>
        <v>164.67</v>
      </c>
      <c r="M83" s="205">
        <f t="shared" si="26"/>
        <v>0</v>
      </c>
      <c r="N83" s="205">
        <f t="shared" si="26"/>
        <v>0</v>
      </c>
      <c r="O83" s="205">
        <f t="shared" si="26"/>
        <v>149.16999999999999</v>
      </c>
    </row>
    <row r="84" spans="1:15">
      <c r="A84" s="2068">
        <v>27</v>
      </c>
      <c r="B84" s="210" t="s">
        <v>97</v>
      </c>
      <c r="C84" s="199">
        <v>279656</v>
      </c>
      <c r="D84" s="203">
        <f>ROUND((C84*(1+'Løntabel gældende fra'!$D$7%)),0)</f>
        <v>303402</v>
      </c>
      <c r="E84" s="201">
        <v>284456</v>
      </c>
      <c r="F84" s="202">
        <f>ROUND((E84*(1+'Løntabel gældende fra'!$D$7%)),0)</f>
        <v>308609</v>
      </c>
      <c r="G84" s="199">
        <v>287782</v>
      </c>
      <c r="H84" s="203">
        <f>ROUND((G84*(1+'Løntabel gældende fra'!$D$7%)),0)</f>
        <v>312218</v>
      </c>
      <c r="I84" s="201">
        <v>292583</v>
      </c>
      <c r="J84" s="202">
        <f>ROUND((I84*(1+'Løntabel gældende fra'!$D$7%)),0)</f>
        <v>317427</v>
      </c>
      <c r="K84" s="199">
        <v>295908</v>
      </c>
      <c r="L84" s="203">
        <f>ROUND((K84*(1+'Løntabel gældende fra'!$D$7%)),0)</f>
        <v>321034</v>
      </c>
      <c r="M84" s="436"/>
      <c r="N84" s="415">
        <v>269459.90000000002</v>
      </c>
      <c r="O84" s="416">
        <f>ROUND(N84*(1+'Løntabel gældende fra'!$D$7%),2)</f>
        <v>292340.01</v>
      </c>
    </row>
    <row r="85" spans="1:15">
      <c r="A85" s="2069"/>
      <c r="B85" s="419" t="s">
        <v>240</v>
      </c>
      <c r="C85" s="422"/>
      <c r="D85" s="429">
        <f>ROUND(D84/12,2)</f>
        <v>25283.5</v>
      </c>
      <c r="E85" s="426">
        <f>E84/12</f>
        <v>23704.666666666668</v>
      </c>
      <c r="F85" s="411">
        <f>ROUND(F84/12,2)</f>
        <v>25717.42</v>
      </c>
      <c r="G85" s="422">
        <f>G84/12</f>
        <v>23981.833333333332</v>
      </c>
      <c r="H85" s="429">
        <f>ROUND(H84/12,2)</f>
        <v>26018.17</v>
      </c>
      <c r="I85" s="426">
        <f>I84/12</f>
        <v>24381.916666666668</v>
      </c>
      <c r="J85" s="411">
        <f>ROUND(J84/12,2)</f>
        <v>26452.25</v>
      </c>
      <c r="K85" s="422">
        <f>K84/12</f>
        <v>24659</v>
      </c>
      <c r="L85" s="429">
        <f>ROUND(L84/12,2)</f>
        <v>26752.83</v>
      </c>
      <c r="M85" s="434"/>
      <c r="N85" s="412"/>
      <c r="O85" s="414">
        <f>ROUND(O84/12,2)</f>
        <v>24361.67</v>
      </c>
    </row>
    <row r="86" spans="1:15" ht="16" thickBot="1">
      <c r="A86" s="2072"/>
      <c r="B86" s="421" t="s">
        <v>233</v>
      </c>
      <c r="C86" s="425">
        <f>C84/12</f>
        <v>23304.666666666668</v>
      </c>
      <c r="D86" s="205">
        <f>ROUND(D85/160.33,2)</f>
        <v>157.69999999999999</v>
      </c>
      <c r="E86" s="428"/>
      <c r="F86" s="205">
        <f t="shared" ref="F86:O86" si="27">ROUND(F85/160.33,2)</f>
        <v>160.4</v>
      </c>
      <c r="G86" s="205">
        <f t="shared" si="27"/>
        <v>149.58000000000001</v>
      </c>
      <c r="H86" s="205">
        <f t="shared" si="27"/>
        <v>162.28</v>
      </c>
      <c r="I86" s="205">
        <f t="shared" si="27"/>
        <v>152.07</v>
      </c>
      <c r="J86" s="205">
        <f t="shared" si="27"/>
        <v>164.99</v>
      </c>
      <c r="K86" s="205">
        <f t="shared" si="27"/>
        <v>153.80000000000001</v>
      </c>
      <c r="L86" s="205">
        <f t="shared" si="27"/>
        <v>166.86</v>
      </c>
      <c r="M86" s="205">
        <f t="shared" si="27"/>
        <v>0</v>
      </c>
      <c r="N86" s="205">
        <f t="shared" si="27"/>
        <v>0</v>
      </c>
      <c r="O86" s="205">
        <f t="shared" si="27"/>
        <v>151.94999999999999</v>
      </c>
    </row>
    <row r="87" spans="1:15">
      <c r="A87" s="2071">
        <v>28</v>
      </c>
      <c r="B87" s="211" t="s">
        <v>97</v>
      </c>
      <c r="C87" s="207">
        <v>284283</v>
      </c>
      <c r="D87" s="200">
        <f>ROUND((C87*(1+'Løntabel gældende fra'!$D$7%)),0)</f>
        <v>308422</v>
      </c>
      <c r="E87" s="208">
        <v>288881</v>
      </c>
      <c r="F87" s="209">
        <f>ROUND((E87*(1+'Løntabel gældende fra'!$D$7%)),0)</f>
        <v>313410</v>
      </c>
      <c r="G87" s="207">
        <v>292064</v>
      </c>
      <c r="H87" s="200">
        <f>ROUND((G87*(1+'Løntabel gældende fra'!$D$7%)),0)</f>
        <v>316863</v>
      </c>
      <c r="I87" s="208">
        <v>296661</v>
      </c>
      <c r="J87" s="209">
        <f>ROUND((I87*(1+'Løntabel gældende fra'!$D$7%)),0)</f>
        <v>321851</v>
      </c>
      <c r="K87" s="207">
        <v>299845</v>
      </c>
      <c r="L87" s="200">
        <f>ROUND((K87*(1+'Løntabel gældende fra'!$D$7%)),0)</f>
        <v>325305</v>
      </c>
      <c r="M87" s="435"/>
      <c r="N87" s="413">
        <v>274522.23</v>
      </c>
      <c r="O87" s="214">
        <f>ROUND(N87*(1+'Løntabel gældende fra'!$D$7%),2)</f>
        <v>297832.19</v>
      </c>
    </row>
    <row r="88" spans="1:15">
      <c r="A88" s="2069"/>
      <c r="B88" s="419" t="s">
        <v>240</v>
      </c>
      <c r="C88" s="422"/>
      <c r="D88" s="429">
        <f>ROUND(D87/12,2)</f>
        <v>25701.83</v>
      </c>
      <c r="E88" s="426">
        <f>E87/12</f>
        <v>24073.416666666668</v>
      </c>
      <c r="F88" s="411">
        <f>ROUND(F87/12,2)</f>
        <v>26117.5</v>
      </c>
      <c r="G88" s="422">
        <f>G87/12</f>
        <v>24338.666666666668</v>
      </c>
      <c r="H88" s="429">
        <f>ROUND(H87/12,2)</f>
        <v>26405.25</v>
      </c>
      <c r="I88" s="426">
        <f>I87/12</f>
        <v>24721.75</v>
      </c>
      <c r="J88" s="411">
        <f>ROUND(J87/12,2)</f>
        <v>26820.92</v>
      </c>
      <c r="K88" s="422">
        <f>K87/12</f>
        <v>24987.083333333332</v>
      </c>
      <c r="L88" s="429">
        <f>ROUND(L87/12,2)</f>
        <v>27108.75</v>
      </c>
      <c r="M88" s="434"/>
      <c r="N88" s="412"/>
      <c r="O88" s="414">
        <f>ROUND(O87/12,2)</f>
        <v>24819.35</v>
      </c>
    </row>
    <row r="89" spans="1:15" ht="16" thickBot="1">
      <c r="A89" s="2070"/>
      <c r="B89" s="420" t="s">
        <v>233</v>
      </c>
      <c r="C89" s="204">
        <f>C87/12</f>
        <v>23690.25</v>
      </c>
      <c r="D89" s="205">
        <f>ROUND(D88/160.33,2)</f>
        <v>160.31</v>
      </c>
      <c r="E89" s="205">
        <f t="shared" ref="E89:O89" si="28">ROUND(E88/160.33,2)</f>
        <v>150.15</v>
      </c>
      <c r="F89" s="205">
        <f t="shared" si="28"/>
        <v>162.9</v>
      </c>
      <c r="G89" s="205">
        <f t="shared" si="28"/>
        <v>151.80000000000001</v>
      </c>
      <c r="H89" s="205">
        <f t="shared" si="28"/>
        <v>164.69</v>
      </c>
      <c r="I89" s="205">
        <f t="shared" si="28"/>
        <v>154.19</v>
      </c>
      <c r="J89" s="205">
        <f t="shared" si="28"/>
        <v>167.29</v>
      </c>
      <c r="K89" s="205">
        <f t="shared" si="28"/>
        <v>155.85</v>
      </c>
      <c r="L89" s="205">
        <f t="shared" si="28"/>
        <v>169.08</v>
      </c>
      <c r="M89" s="205">
        <f t="shared" si="28"/>
        <v>0</v>
      </c>
      <c r="N89" s="205">
        <f t="shared" si="28"/>
        <v>0</v>
      </c>
      <c r="O89" s="205">
        <f t="shared" si="28"/>
        <v>154.80000000000001</v>
      </c>
    </row>
    <row r="90" spans="1:15">
      <c r="A90" s="2068">
        <v>29</v>
      </c>
      <c r="B90" s="210" t="s">
        <v>97</v>
      </c>
      <c r="C90" s="199">
        <v>289014</v>
      </c>
      <c r="D90" s="203">
        <f>ROUND((C90*(1+'Løntabel gældende fra'!$D$7%)),0)</f>
        <v>313554</v>
      </c>
      <c r="E90" s="201">
        <v>293394</v>
      </c>
      <c r="F90" s="202">
        <f>ROUND((E90*(1+'Løntabel gældende fra'!$D$7%)),0)</f>
        <v>318306</v>
      </c>
      <c r="G90" s="199">
        <v>296427</v>
      </c>
      <c r="H90" s="203">
        <f>ROUND((G90*(1+'Løntabel gældende fra'!$D$7%)),0)</f>
        <v>321597</v>
      </c>
      <c r="I90" s="201">
        <v>300807</v>
      </c>
      <c r="J90" s="202">
        <f>ROUND((I90*(1+'Løntabel gældende fra'!$D$7%)),0)</f>
        <v>326349</v>
      </c>
      <c r="K90" s="199">
        <v>303839</v>
      </c>
      <c r="L90" s="203">
        <f>ROUND((K90*(1+'Løntabel gældende fra'!$D$7%)),0)</f>
        <v>329638</v>
      </c>
      <c r="M90" s="436"/>
      <c r="N90" s="415">
        <v>279714.99</v>
      </c>
      <c r="O90" s="416">
        <f>ROUND(N90*(1+'Løntabel gældende fra'!$D$7%),2)</f>
        <v>303465.87</v>
      </c>
    </row>
    <row r="91" spans="1:15">
      <c r="A91" s="2069"/>
      <c r="B91" s="419" t="s">
        <v>240</v>
      </c>
      <c r="C91" s="422"/>
      <c r="D91" s="429">
        <f>ROUND(D90/12,2)</f>
        <v>26129.5</v>
      </c>
      <c r="E91" s="426">
        <f>E90/12</f>
        <v>24449.5</v>
      </c>
      <c r="F91" s="411">
        <f>ROUND(F90/12,2)</f>
        <v>26525.5</v>
      </c>
      <c r="G91" s="422">
        <f>G90/12</f>
        <v>24702.25</v>
      </c>
      <c r="H91" s="429">
        <f>ROUND(H90/12,2)</f>
        <v>26799.75</v>
      </c>
      <c r="I91" s="426">
        <f>I90/12</f>
        <v>25067.25</v>
      </c>
      <c r="J91" s="411">
        <f>ROUND(J90/12,2)</f>
        <v>27195.75</v>
      </c>
      <c r="K91" s="422">
        <f>K90/12</f>
        <v>25319.916666666668</v>
      </c>
      <c r="L91" s="429">
        <f>ROUND(L90/12,2)</f>
        <v>27469.83</v>
      </c>
      <c r="M91" s="434"/>
      <c r="N91" s="412"/>
      <c r="O91" s="414">
        <f>ROUND(O90/12,2)</f>
        <v>25288.82</v>
      </c>
    </row>
    <row r="92" spans="1:15" ht="16" thickBot="1">
      <c r="A92" s="2072"/>
      <c r="B92" s="421" t="s">
        <v>233</v>
      </c>
      <c r="C92" s="425">
        <f>C90/12</f>
        <v>24084.5</v>
      </c>
      <c r="D92" s="205">
        <f>ROUND(D91/160.33,2)</f>
        <v>162.97</v>
      </c>
      <c r="E92" s="428"/>
      <c r="F92" s="205">
        <f t="shared" ref="F92:O92" si="29">ROUND(F91/160.33,2)</f>
        <v>165.44</v>
      </c>
      <c r="G92" s="205">
        <f t="shared" si="29"/>
        <v>154.07</v>
      </c>
      <c r="H92" s="205">
        <f t="shared" si="29"/>
        <v>167.15</v>
      </c>
      <c r="I92" s="205">
        <f t="shared" si="29"/>
        <v>156.35</v>
      </c>
      <c r="J92" s="205">
        <f t="shared" si="29"/>
        <v>169.62</v>
      </c>
      <c r="K92" s="205">
        <f t="shared" si="29"/>
        <v>157.91999999999999</v>
      </c>
      <c r="L92" s="205">
        <f t="shared" si="29"/>
        <v>171.33</v>
      </c>
      <c r="M92" s="205">
        <f t="shared" si="29"/>
        <v>0</v>
      </c>
      <c r="N92" s="205">
        <f t="shared" si="29"/>
        <v>0</v>
      </c>
      <c r="O92" s="205">
        <f t="shared" si="29"/>
        <v>157.72999999999999</v>
      </c>
    </row>
    <row r="93" spans="1:15">
      <c r="A93" s="2071">
        <v>30</v>
      </c>
      <c r="B93" s="211" t="s">
        <v>97</v>
      </c>
      <c r="C93" s="207">
        <v>293853</v>
      </c>
      <c r="D93" s="200">
        <f>ROUND((C93*(1+'Løntabel gældende fra'!$D$7%)),0)</f>
        <v>318804</v>
      </c>
      <c r="E93" s="208">
        <v>298001</v>
      </c>
      <c r="F93" s="209">
        <f>ROUND((E93*(1+'Løntabel gældende fra'!$D$7%)),0)</f>
        <v>323305</v>
      </c>
      <c r="G93" s="207">
        <v>300872</v>
      </c>
      <c r="H93" s="200">
        <f>ROUND((G93*(1+'Løntabel gældende fra'!$D$7%)),0)</f>
        <v>326419</v>
      </c>
      <c r="I93" s="208">
        <v>305018</v>
      </c>
      <c r="J93" s="209">
        <f>ROUND((I93*(1+'Løntabel gældende fra'!$D$7%)),0)</f>
        <v>330917</v>
      </c>
      <c r="K93" s="207">
        <v>307890</v>
      </c>
      <c r="L93" s="200">
        <f>ROUND((K93*(1+'Løntabel gældende fra'!$D$7%)),0)</f>
        <v>334033</v>
      </c>
      <c r="M93" s="435"/>
      <c r="N93" s="413">
        <v>285044.74</v>
      </c>
      <c r="O93" s="214">
        <f>ROUND(N93*(1+'Løntabel gældende fra'!$D$7%),2)</f>
        <v>309248.17</v>
      </c>
    </row>
    <row r="94" spans="1:15">
      <c r="A94" s="2069"/>
      <c r="B94" s="419" t="s">
        <v>98</v>
      </c>
      <c r="C94" s="422"/>
      <c r="D94" s="429">
        <f>ROUND(D93/12,2)</f>
        <v>26567</v>
      </c>
      <c r="E94" s="426">
        <f>E93/12</f>
        <v>24833.416666666668</v>
      </c>
      <c r="F94" s="411">
        <f>ROUND(F93/12,2)</f>
        <v>26942.080000000002</v>
      </c>
      <c r="G94" s="422">
        <f>G93/12</f>
        <v>25072.666666666668</v>
      </c>
      <c r="H94" s="429">
        <f>ROUND(H93/12,2)</f>
        <v>27201.58</v>
      </c>
      <c r="I94" s="426">
        <f>I93/12</f>
        <v>25418.166666666668</v>
      </c>
      <c r="J94" s="411">
        <f>ROUND(J93/12,2)</f>
        <v>27576.42</v>
      </c>
      <c r="K94" s="422">
        <f>K93/12</f>
        <v>25657.5</v>
      </c>
      <c r="L94" s="429">
        <f>ROUND(L93/12,2)</f>
        <v>27836.080000000002</v>
      </c>
      <c r="M94" s="434"/>
      <c r="N94" s="412"/>
      <c r="O94" s="414">
        <f>ROUND(O93/12,2)</f>
        <v>25770.68</v>
      </c>
    </row>
    <row r="95" spans="1:15" ht="16" thickBot="1">
      <c r="A95" s="2070"/>
      <c r="B95" s="420" t="s">
        <v>233</v>
      </c>
      <c r="C95" s="204">
        <f>C93/12</f>
        <v>24487.75</v>
      </c>
      <c r="D95" s="205">
        <f>ROUND(D94/160.33,2)</f>
        <v>165.7</v>
      </c>
      <c r="E95" s="427"/>
      <c r="F95" s="205">
        <f t="shared" ref="F95:O95" si="30">ROUND(F94/160.33,2)</f>
        <v>168.04</v>
      </c>
      <c r="G95" s="205">
        <f t="shared" si="30"/>
        <v>156.38</v>
      </c>
      <c r="H95" s="205">
        <f t="shared" si="30"/>
        <v>169.66</v>
      </c>
      <c r="I95" s="205">
        <f t="shared" si="30"/>
        <v>158.54</v>
      </c>
      <c r="J95" s="205">
        <f t="shared" si="30"/>
        <v>172</v>
      </c>
      <c r="K95" s="205">
        <f t="shared" si="30"/>
        <v>160.03</v>
      </c>
      <c r="L95" s="205">
        <f t="shared" si="30"/>
        <v>173.62</v>
      </c>
      <c r="M95" s="205">
        <f t="shared" si="30"/>
        <v>0</v>
      </c>
      <c r="N95" s="205">
        <f t="shared" si="30"/>
        <v>0</v>
      </c>
      <c r="O95" s="205">
        <f t="shared" si="30"/>
        <v>160.74</v>
      </c>
    </row>
    <row r="96" spans="1:15">
      <c r="A96" s="2068">
        <v>31</v>
      </c>
      <c r="B96" s="210" t="s">
        <v>97</v>
      </c>
      <c r="C96" s="199">
        <v>298795</v>
      </c>
      <c r="D96" s="203">
        <f>ROUND((C96*(1+'Løntabel gældende fra'!$D$7%)),0)</f>
        <v>324166</v>
      </c>
      <c r="E96" s="201">
        <v>302696</v>
      </c>
      <c r="F96" s="202">
        <f>ROUND((E96*(1+'Løntabel gældende fra'!$D$7%)),0)</f>
        <v>328398</v>
      </c>
      <c r="G96" s="199">
        <v>305398</v>
      </c>
      <c r="H96" s="203">
        <f>ROUND((G96*(1+'Løntabel gældende fra'!$D$7%)),0)</f>
        <v>331330</v>
      </c>
      <c r="I96" s="201">
        <v>309299</v>
      </c>
      <c r="J96" s="202">
        <f>ROUND((I96*(1+'Løntabel gældende fra'!$D$7%)),0)</f>
        <v>335562</v>
      </c>
      <c r="K96" s="199">
        <v>312000</v>
      </c>
      <c r="L96" s="203">
        <f>ROUND((K96*(1+'Løntabel gældende fra'!$D$7%)),0)</f>
        <v>338492</v>
      </c>
      <c r="M96" s="436"/>
      <c r="N96" s="415">
        <v>290512.64000000001</v>
      </c>
      <c r="O96" s="416">
        <f>ROUND(N96*(1+'Løntabel gældende fra'!$D$7%),2)</f>
        <v>315180.36</v>
      </c>
    </row>
    <row r="97" spans="1:15">
      <c r="A97" s="2069"/>
      <c r="B97" s="419" t="s">
        <v>240</v>
      </c>
      <c r="C97" s="422"/>
      <c r="D97" s="429">
        <f>ROUND(D96/12,2)</f>
        <v>27013.83</v>
      </c>
      <c r="E97" s="426">
        <f>E96/12</f>
        <v>25224.666666666668</v>
      </c>
      <c r="F97" s="411">
        <f>ROUND(F96/12,2)</f>
        <v>27366.5</v>
      </c>
      <c r="G97" s="422">
        <f>G96/12</f>
        <v>25449.833333333332</v>
      </c>
      <c r="H97" s="429">
        <f>ROUND(H96/12,2)</f>
        <v>27610.83</v>
      </c>
      <c r="I97" s="426">
        <f>I96/12</f>
        <v>25774.916666666668</v>
      </c>
      <c r="J97" s="411">
        <f>ROUND(J96/12,2)</f>
        <v>27963.5</v>
      </c>
      <c r="K97" s="422">
        <f>K96/12</f>
        <v>26000</v>
      </c>
      <c r="L97" s="429">
        <f>ROUND(L96/12,2)</f>
        <v>28207.67</v>
      </c>
      <c r="M97" s="434"/>
      <c r="N97" s="412"/>
      <c r="O97" s="414">
        <f>ROUND(O96/12,2)</f>
        <v>26265.03</v>
      </c>
    </row>
    <row r="98" spans="1:15" ht="16" thickBot="1">
      <c r="A98" s="2072"/>
      <c r="B98" s="421" t="s">
        <v>233</v>
      </c>
      <c r="C98" s="425">
        <f>C96/12</f>
        <v>24899.583333333332</v>
      </c>
      <c r="D98" s="205">
        <f>ROUND(D97/160.33,2)</f>
        <v>168.49</v>
      </c>
      <c r="E98" s="428"/>
      <c r="F98" s="205">
        <f t="shared" ref="F98:O98" si="31">ROUND(F97/160.33,2)</f>
        <v>170.69</v>
      </c>
      <c r="G98" s="205">
        <f t="shared" si="31"/>
        <v>158.72999999999999</v>
      </c>
      <c r="H98" s="205">
        <f t="shared" si="31"/>
        <v>172.21</v>
      </c>
      <c r="I98" s="205">
        <f t="shared" si="31"/>
        <v>160.76</v>
      </c>
      <c r="J98" s="205">
        <f t="shared" si="31"/>
        <v>174.41</v>
      </c>
      <c r="K98" s="205">
        <f t="shared" si="31"/>
        <v>162.16999999999999</v>
      </c>
      <c r="L98" s="205">
        <f t="shared" si="31"/>
        <v>175.94</v>
      </c>
      <c r="M98" s="205">
        <f t="shared" si="31"/>
        <v>0</v>
      </c>
      <c r="N98" s="205">
        <f t="shared" si="31"/>
        <v>0</v>
      </c>
      <c r="O98" s="205">
        <f t="shared" si="31"/>
        <v>163.82</v>
      </c>
    </row>
    <row r="99" spans="1:15">
      <c r="A99" s="2071">
        <v>32</v>
      </c>
      <c r="B99" s="211" t="s">
        <v>97</v>
      </c>
      <c r="C99" s="207">
        <v>303852</v>
      </c>
      <c r="D99" s="200">
        <f>ROUND((C99*(1+'Løntabel gældende fra'!$D$7%)),0)</f>
        <v>329652</v>
      </c>
      <c r="E99" s="208">
        <v>307490</v>
      </c>
      <c r="F99" s="209">
        <f>ROUND((E99*(1+'Løntabel gældende fra'!$D$7%)),0)</f>
        <v>333599</v>
      </c>
      <c r="G99" s="207">
        <v>310009</v>
      </c>
      <c r="H99" s="200">
        <f>ROUND((G99*(1+'Løntabel gældende fra'!$D$7%)),0)</f>
        <v>336332</v>
      </c>
      <c r="I99" s="208">
        <v>313649</v>
      </c>
      <c r="J99" s="209">
        <f>ROUND((I99*(1+'Løntabel gældende fra'!$D$7%)),0)</f>
        <v>340281</v>
      </c>
      <c r="K99" s="207">
        <v>316167</v>
      </c>
      <c r="L99" s="200">
        <f>ROUND((K99*(1+'Løntabel gældende fra'!$D$7%)),0)</f>
        <v>343013</v>
      </c>
      <c r="M99" s="435"/>
      <c r="N99" s="413">
        <v>296125.21000000002</v>
      </c>
      <c r="O99" s="214">
        <f>ROUND(N99*(1+'Løntabel gældende fra'!$D$7%),2)</f>
        <v>321269.5</v>
      </c>
    </row>
    <row r="100" spans="1:15">
      <c r="A100" s="2069"/>
      <c r="B100" s="419" t="s">
        <v>98</v>
      </c>
      <c r="C100" s="422"/>
      <c r="D100" s="429">
        <f>ROUND(D99/12,2)</f>
        <v>27471</v>
      </c>
      <c r="E100" s="426">
        <f>E99/12</f>
        <v>25624.166666666668</v>
      </c>
      <c r="F100" s="411">
        <f>ROUND(F99/12,2)</f>
        <v>27799.919999999998</v>
      </c>
      <c r="G100" s="422">
        <f>G99/12</f>
        <v>25834.083333333332</v>
      </c>
      <c r="H100" s="429">
        <f>ROUND(H99/12,2)</f>
        <v>28027.67</v>
      </c>
      <c r="I100" s="426">
        <f>I99/12</f>
        <v>26137.416666666668</v>
      </c>
      <c r="J100" s="411">
        <f>ROUND(J99/12,2)</f>
        <v>28356.75</v>
      </c>
      <c r="K100" s="422">
        <f>K99/12</f>
        <v>26347.25</v>
      </c>
      <c r="L100" s="429">
        <f>ROUND(L99/12,2)</f>
        <v>28584.42</v>
      </c>
      <c r="M100" s="434"/>
      <c r="N100" s="412"/>
      <c r="O100" s="414">
        <f>ROUND(O99/12,2)</f>
        <v>26772.46</v>
      </c>
    </row>
    <row r="101" spans="1:15" ht="16" thickBot="1">
      <c r="A101" s="2070"/>
      <c r="B101" s="420" t="s">
        <v>233</v>
      </c>
      <c r="C101" s="204">
        <f>C99/12</f>
        <v>25321</v>
      </c>
      <c r="D101" s="205">
        <f>ROUND(D100/160.33,2)</f>
        <v>171.34</v>
      </c>
      <c r="E101" s="427"/>
      <c r="F101" s="205">
        <f t="shared" ref="F101:O101" si="32">ROUND(F100/160.33,2)</f>
        <v>173.39</v>
      </c>
      <c r="G101" s="205">
        <f t="shared" si="32"/>
        <v>161.13</v>
      </c>
      <c r="H101" s="205">
        <f t="shared" si="32"/>
        <v>174.81</v>
      </c>
      <c r="I101" s="205">
        <f t="shared" si="32"/>
        <v>163.02000000000001</v>
      </c>
      <c r="J101" s="205">
        <f t="shared" si="32"/>
        <v>176.86</v>
      </c>
      <c r="K101" s="205">
        <f t="shared" si="32"/>
        <v>164.33</v>
      </c>
      <c r="L101" s="205">
        <f t="shared" si="32"/>
        <v>178.28</v>
      </c>
      <c r="M101" s="205">
        <f t="shared" si="32"/>
        <v>0</v>
      </c>
      <c r="N101" s="205">
        <f t="shared" si="32"/>
        <v>0</v>
      </c>
      <c r="O101" s="205">
        <f t="shared" si="32"/>
        <v>166.98</v>
      </c>
    </row>
    <row r="102" spans="1:15">
      <c r="A102" s="2068">
        <v>33</v>
      </c>
      <c r="B102" s="210" t="s">
        <v>97</v>
      </c>
      <c r="C102" s="199">
        <v>309016</v>
      </c>
      <c r="D102" s="203">
        <f>ROUND((C102*(1+'Løntabel gældende fra'!$D$7%)),0)</f>
        <v>335255</v>
      </c>
      <c r="E102" s="201">
        <v>312375</v>
      </c>
      <c r="F102" s="202">
        <f>ROUND((E102*(1+'Løntabel gældende fra'!$D$7%)),0)</f>
        <v>338899</v>
      </c>
      <c r="G102" s="199">
        <v>314703</v>
      </c>
      <c r="H102" s="203">
        <f>ROUND((G102*(1+'Løntabel gældende fra'!$D$7%)),0)</f>
        <v>341425</v>
      </c>
      <c r="I102" s="201">
        <v>318063</v>
      </c>
      <c r="J102" s="202">
        <f>ROUND((I102*(1+'Løntabel gældende fra'!$D$7%)),0)</f>
        <v>345070</v>
      </c>
      <c r="K102" s="199">
        <v>320390</v>
      </c>
      <c r="L102" s="203">
        <f>ROUND((K102*(1+'Løntabel gældende fra'!$D$7%)),0)</f>
        <v>347595</v>
      </c>
      <c r="M102" s="436"/>
      <c r="N102" s="415">
        <v>301881.8</v>
      </c>
      <c r="O102" s="416">
        <f>ROUND(N102*(1+'Løntabel gældende fra'!$D$7%),2)</f>
        <v>327514.89</v>
      </c>
    </row>
    <row r="103" spans="1:15">
      <c r="A103" s="2069"/>
      <c r="B103" s="419" t="s">
        <v>240</v>
      </c>
      <c r="C103" s="422"/>
      <c r="D103" s="429">
        <f>ROUND(D102/12,2)</f>
        <v>27937.919999999998</v>
      </c>
      <c r="E103" s="426">
        <f>E102/12</f>
        <v>26031.25</v>
      </c>
      <c r="F103" s="411">
        <f>ROUND(F102/12,2)</f>
        <v>28241.58</v>
      </c>
      <c r="G103" s="422">
        <f>G102/12</f>
        <v>26225.25</v>
      </c>
      <c r="H103" s="429">
        <f>ROUND(H102/12,2)</f>
        <v>28452.080000000002</v>
      </c>
      <c r="I103" s="426">
        <f>I102/12</f>
        <v>26505.25</v>
      </c>
      <c r="J103" s="411">
        <f>ROUND(J102/12,2)</f>
        <v>28755.83</v>
      </c>
      <c r="K103" s="422">
        <f>K102/12</f>
        <v>26699.166666666668</v>
      </c>
      <c r="L103" s="429">
        <f>ROUND(L102/12,2)</f>
        <v>28966.25</v>
      </c>
      <c r="M103" s="434"/>
      <c r="N103" s="412"/>
      <c r="O103" s="414">
        <f>ROUND(O102/12,2)</f>
        <v>27292.91</v>
      </c>
    </row>
    <row r="104" spans="1:15" ht="16" thickBot="1">
      <c r="A104" s="2072"/>
      <c r="B104" s="421" t="s">
        <v>233</v>
      </c>
      <c r="C104" s="425">
        <f>C102/12</f>
        <v>25751.333333333332</v>
      </c>
      <c r="D104" s="205">
        <f>ROUND(D103/160.33,2)</f>
        <v>174.25</v>
      </c>
      <c r="E104" s="428"/>
      <c r="F104" s="205">
        <f t="shared" ref="F104:O104" si="33">ROUND(F103/160.33,2)</f>
        <v>176.15</v>
      </c>
      <c r="G104" s="205">
        <f t="shared" si="33"/>
        <v>163.57</v>
      </c>
      <c r="H104" s="205">
        <f t="shared" si="33"/>
        <v>177.46</v>
      </c>
      <c r="I104" s="205">
        <f t="shared" si="33"/>
        <v>165.32</v>
      </c>
      <c r="J104" s="205">
        <f t="shared" si="33"/>
        <v>179.35</v>
      </c>
      <c r="K104" s="205">
        <f t="shared" si="33"/>
        <v>166.53</v>
      </c>
      <c r="L104" s="205">
        <f t="shared" si="33"/>
        <v>180.67</v>
      </c>
      <c r="M104" s="205">
        <f t="shared" si="33"/>
        <v>0</v>
      </c>
      <c r="N104" s="205">
        <f t="shared" si="33"/>
        <v>0</v>
      </c>
      <c r="O104" s="205">
        <f t="shared" si="33"/>
        <v>170.23</v>
      </c>
    </row>
    <row r="105" spans="1:15">
      <c r="A105" s="2071">
        <v>34</v>
      </c>
      <c r="B105" s="211" t="s">
        <v>97</v>
      </c>
      <c r="C105" s="207">
        <v>314298</v>
      </c>
      <c r="D105" s="200">
        <f>ROUND((C105*(1+'Løntabel gældende fra'!$D$7%)),0)</f>
        <v>340985</v>
      </c>
      <c r="E105" s="208">
        <v>317363</v>
      </c>
      <c r="F105" s="209">
        <f>ROUND((E105*(1+'Løntabel gældende fra'!$D$7%)),0)</f>
        <v>344311</v>
      </c>
      <c r="G105" s="207">
        <v>319485</v>
      </c>
      <c r="H105" s="200">
        <f>ROUND((G105*(1+'Løntabel gældende fra'!$D$7%)),0)</f>
        <v>346613</v>
      </c>
      <c r="I105" s="208">
        <v>322548</v>
      </c>
      <c r="J105" s="209">
        <f>ROUND((I105*(1+'Løntabel gældende fra'!$D$7%)),0)</f>
        <v>349936</v>
      </c>
      <c r="K105" s="207">
        <v>324670</v>
      </c>
      <c r="L105" s="200">
        <f>ROUND((K105*(1+'Løntabel gældende fra'!$D$7%)),0)</f>
        <v>352238</v>
      </c>
      <c r="M105" s="435"/>
      <c r="N105" s="413">
        <v>307790.62</v>
      </c>
      <c r="O105" s="214">
        <f>ROUND(N105*(1+'Løntabel gældende fra'!$D$7%),2)</f>
        <v>333925.43</v>
      </c>
    </row>
    <row r="106" spans="1:15">
      <c r="A106" s="2069"/>
      <c r="B106" s="419" t="s">
        <v>240</v>
      </c>
      <c r="C106" s="422"/>
      <c r="D106" s="429">
        <f>ROUND(D105/12,2)</f>
        <v>28415.42</v>
      </c>
      <c r="E106" s="426">
        <f>E105/12</f>
        <v>26446.916666666668</v>
      </c>
      <c r="F106" s="411">
        <f>ROUND(F105/12,2)</f>
        <v>28692.58</v>
      </c>
      <c r="G106" s="422">
        <f>G105/12</f>
        <v>26623.75</v>
      </c>
      <c r="H106" s="429">
        <f>ROUND(H105/12,2)</f>
        <v>28884.42</v>
      </c>
      <c r="I106" s="426">
        <f>I105/12</f>
        <v>26879</v>
      </c>
      <c r="J106" s="411">
        <f>ROUND(J105/12,2)</f>
        <v>29161.33</v>
      </c>
      <c r="K106" s="422">
        <f>K105/12</f>
        <v>27055.833333333332</v>
      </c>
      <c r="L106" s="429">
        <f>ROUND(L105/12,2)</f>
        <v>29353.17</v>
      </c>
      <c r="M106" s="434"/>
      <c r="N106" s="412"/>
      <c r="O106" s="414">
        <f>ROUND(O105/12,2)</f>
        <v>27827.119999999999</v>
      </c>
    </row>
    <row r="107" spans="1:15" ht="16" thickBot="1">
      <c r="A107" s="2070"/>
      <c r="B107" s="420" t="s">
        <v>233</v>
      </c>
      <c r="C107" s="204">
        <f>C105/12</f>
        <v>26191.5</v>
      </c>
      <c r="D107" s="205">
        <f>ROUND(D106/160.33,2)</f>
        <v>177.23</v>
      </c>
      <c r="E107" s="427"/>
      <c r="F107" s="205">
        <f t="shared" ref="F107:O107" si="34">ROUND(F106/160.33,2)</f>
        <v>178.96</v>
      </c>
      <c r="G107" s="205">
        <f t="shared" si="34"/>
        <v>166.06</v>
      </c>
      <c r="H107" s="205">
        <f t="shared" si="34"/>
        <v>180.16</v>
      </c>
      <c r="I107" s="205">
        <f t="shared" si="34"/>
        <v>167.65</v>
      </c>
      <c r="J107" s="205">
        <f t="shared" si="34"/>
        <v>181.88</v>
      </c>
      <c r="K107" s="205">
        <f t="shared" si="34"/>
        <v>168.75</v>
      </c>
      <c r="L107" s="205">
        <f t="shared" si="34"/>
        <v>183.08</v>
      </c>
      <c r="M107" s="205">
        <f t="shared" si="34"/>
        <v>0</v>
      </c>
      <c r="N107" s="205">
        <f t="shared" si="34"/>
        <v>0</v>
      </c>
      <c r="O107" s="205">
        <f t="shared" si="34"/>
        <v>173.56</v>
      </c>
    </row>
    <row r="108" spans="1:15">
      <c r="A108" s="2068">
        <v>35</v>
      </c>
      <c r="B108" s="210" t="s">
        <v>97</v>
      </c>
      <c r="C108" s="199">
        <v>319697</v>
      </c>
      <c r="D108" s="203">
        <f>ROUND((C108*(1+'Løntabel gældende fra'!$D$7%)),0)</f>
        <v>346843</v>
      </c>
      <c r="E108" s="201">
        <v>322450</v>
      </c>
      <c r="F108" s="202">
        <f>ROUND((E108*(1+'Løntabel gældende fra'!$D$7%)),0)</f>
        <v>349830</v>
      </c>
      <c r="G108" s="199">
        <v>324354</v>
      </c>
      <c r="H108" s="203">
        <f>ROUND((G108*(1+'Løntabel gældende fra'!$D$7%)),0)</f>
        <v>351895</v>
      </c>
      <c r="I108" s="201">
        <v>327107</v>
      </c>
      <c r="J108" s="202">
        <f>ROUND((I108*(1+'Løntabel gældende fra'!$D$7%)),0)</f>
        <v>354882</v>
      </c>
      <c r="K108" s="199">
        <v>329011</v>
      </c>
      <c r="L108" s="203">
        <f>ROUND((K108*(1+'Løntabel gældende fra'!$D$7%)),0)</f>
        <v>356948</v>
      </c>
      <c r="M108" s="436"/>
      <c r="N108" s="415">
        <v>313854.56</v>
      </c>
      <c r="O108" s="416">
        <f>ROUND(N108*(1+'Løntabel gældende fra'!$D$7%),2)</f>
        <v>340504.26</v>
      </c>
    </row>
    <row r="109" spans="1:15">
      <c r="A109" s="2069"/>
      <c r="B109" s="419" t="s">
        <v>240</v>
      </c>
      <c r="C109" s="422"/>
      <c r="D109" s="429">
        <f>ROUND(D108/12,2)</f>
        <v>28903.58</v>
      </c>
      <c r="E109" s="426">
        <f>E108/12</f>
        <v>26870.833333333332</v>
      </c>
      <c r="F109" s="411">
        <f>ROUND(F108/12,2)</f>
        <v>29152.5</v>
      </c>
      <c r="G109" s="422">
        <f>G108/12</f>
        <v>27029.5</v>
      </c>
      <c r="H109" s="429">
        <f>ROUND(H108/12,2)</f>
        <v>29324.58</v>
      </c>
      <c r="I109" s="426">
        <f>I108/12</f>
        <v>27258.916666666668</v>
      </c>
      <c r="J109" s="411">
        <f>ROUND(J108/12,2)</f>
        <v>29573.5</v>
      </c>
      <c r="K109" s="422">
        <f>K108/12</f>
        <v>27417.583333333332</v>
      </c>
      <c r="L109" s="429">
        <f>ROUND(L108/12,2)</f>
        <v>29745.67</v>
      </c>
      <c r="M109" s="434"/>
      <c r="N109" s="412"/>
      <c r="O109" s="414">
        <f>ROUND(O108/12,2)</f>
        <v>28375.360000000001</v>
      </c>
    </row>
    <row r="110" spans="1:15" ht="16" thickBot="1">
      <c r="A110" s="2072"/>
      <c r="B110" s="421" t="s">
        <v>233</v>
      </c>
      <c r="C110" s="425">
        <f>C108/12</f>
        <v>26641.416666666668</v>
      </c>
      <c r="D110" s="205">
        <f>ROUND(D109/160.33,2)</f>
        <v>180.28</v>
      </c>
      <c r="E110" s="428"/>
      <c r="F110" s="205">
        <f t="shared" ref="F110:O110" si="35">ROUND(F109/160.33,2)</f>
        <v>181.83</v>
      </c>
      <c r="G110" s="205">
        <f t="shared" si="35"/>
        <v>168.59</v>
      </c>
      <c r="H110" s="205">
        <f t="shared" si="35"/>
        <v>182.9</v>
      </c>
      <c r="I110" s="205">
        <f t="shared" si="35"/>
        <v>170.02</v>
      </c>
      <c r="J110" s="205">
        <f t="shared" si="35"/>
        <v>184.45</v>
      </c>
      <c r="K110" s="205">
        <f t="shared" si="35"/>
        <v>171.01</v>
      </c>
      <c r="L110" s="205">
        <f t="shared" si="35"/>
        <v>185.53</v>
      </c>
      <c r="M110" s="205">
        <f t="shared" si="35"/>
        <v>0</v>
      </c>
      <c r="N110" s="205">
        <f t="shared" si="35"/>
        <v>0</v>
      </c>
      <c r="O110" s="205">
        <f t="shared" si="35"/>
        <v>176.98</v>
      </c>
    </row>
    <row r="111" spans="1:15">
      <c r="A111" s="2071">
        <v>36</v>
      </c>
      <c r="B111" s="211" t="s">
        <v>97</v>
      </c>
      <c r="C111" s="207">
        <v>325214</v>
      </c>
      <c r="D111" s="200">
        <f>ROUND((C111*(1+'Løntabel gældende fra'!$D$7%)),0)</f>
        <v>352828</v>
      </c>
      <c r="E111" s="208">
        <v>327634</v>
      </c>
      <c r="F111" s="209">
        <f>ROUND((E111*(1+'Løntabel gældende fra'!$D$7%)),0)</f>
        <v>355454</v>
      </c>
      <c r="G111" s="207">
        <v>329310</v>
      </c>
      <c r="H111" s="200">
        <f>ROUND((G111*(1+'Løntabel gældende fra'!$D$7%)),0)</f>
        <v>357272</v>
      </c>
      <c r="I111" s="208">
        <v>331731</v>
      </c>
      <c r="J111" s="209">
        <f>ROUND((I111*(1+'Løntabel gældende fra'!$D$7%)),0)</f>
        <v>359899</v>
      </c>
      <c r="K111" s="207">
        <v>333406</v>
      </c>
      <c r="L111" s="200">
        <f>ROUND((K111*(1+'Løntabel gældende fra'!$D$7%)),0)</f>
        <v>361716</v>
      </c>
      <c r="M111" s="435"/>
      <c r="N111" s="413">
        <v>320074.68</v>
      </c>
      <c r="O111" s="214">
        <f>ROUND(N111*(1+'Løntabel gældende fra'!$D$7%),2)</f>
        <v>347252.54</v>
      </c>
    </row>
    <row r="112" spans="1:15">
      <c r="A112" s="2069"/>
      <c r="B112" s="419" t="s">
        <v>240</v>
      </c>
      <c r="C112" s="422"/>
      <c r="D112" s="429">
        <f>ROUND(D111/12,2)</f>
        <v>29402.33</v>
      </c>
      <c r="E112" s="426">
        <f>E111/12</f>
        <v>27302.833333333332</v>
      </c>
      <c r="F112" s="411">
        <f>ROUND(F111/12,2)</f>
        <v>29621.17</v>
      </c>
      <c r="G112" s="422">
        <f>G111/12</f>
        <v>27442.5</v>
      </c>
      <c r="H112" s="429">
        <f>ROUND(H111/12,2)</f>
        <v>29772.67</v>
      </c>
      <c r="I112" s="426">
        <f>I111/12</f>
        <v>27644.25</v>
      </c>
      <c r="J112" s="411">
        <f>ROUND(J111/12,2)</f>
        <v>29991.58</v>
      </c>
      <c r="K112" s="422">
        <f>K111/12</f>
        <v>27783.833333333332</v>
      </c>
      <c r="L112" s="429">
        <f>ROUND(L111/12,2)</f>
        <v>30143</v>
      </c>
      <c r="M112" s="434"/>
      <c r="N112" s="412"/>
      <c r="O112" s="414">
        <f>ROUND(O111/12,2)</f>
        <v>28937.71</v>
      </c>
    </row>
    <row r="113" spans="1:15" ht="16" thickBot="1">
      <c r="A113" s="2070"/>
      <c r="B113" s="420" t="s">
        <v>233</v>
      </c>
      <c r="C113" s="204">
        <f>C111/12</f>
        <v>27101.166666666668</v>
      </c>
      <c r="D113" s="205">
        <f>ROUND(D112/160.33,2)</f>
        <v>183.39</v>
      </c>
      <c r="E113" s="427"/>
      <c r="F113" s="205">
        <f t="shared" ref="F113:O113" si="36">ROUND(F112/160.33,2)</f>
        <v>184.75</v>
      </c>
      <c r="G113" s="205">
        <f t="shared" si="36"/>
        <v>171.16</v>
      </c>
      <c r="H113" s="205">
        <f t="shared" si="36"/>
        <v>185.7</v>
      </c>
      <c r="I113" s="205">
        <f t="shared" si="36"/>
        <v>172.42</v>
      </c>
      <c r="J113" s="205">
        <f t="shared" si="36"/>
        <v>187.06</v>
      </c>
      <c r="K113" s="205">
        <f t="shared" si="36"/>
        <v>173.29</v>
      </c>
      <c r="L113" s="205">
        <f t="shared" si="36"/>
        <v>188.01</v>
      </c>
      <c r="M113" s="205">
        <f t="shared" si="36"/>
        <v>0</v>
      </c>
      <c r="N113" s="205">
        <f t="shared" si="36"/>
        <v>0</v>
      </c>
      <c r="O113" s="205">
        <f t="shared" si="36"/>
        <v>180.49</v>
      </c>
    </row>
    <row r="114" spans="1:15">
      <c r="A114" s="2068">
        <v>37</v>
      </c>
      <c r="B114" s="210" t="s">
        <v>97</v>
      </c>
      <c r="C114" s="199">
        <v>330853</v>
      </c>
      <c r="D114" s="203">
        <f>ROUND((C114*(1+'Løntabel gældende fra'!$D$7%)),0)</f>
        <v>358946</v>
      </c>
      <c r="E114" s="201">
        <v>332923</v>
      </c>
      <c r="F114" s="202">
        <f>ROUND((E114*(1+'Løntabel gældende fra'!$D$7%)),0)</f>
        <v>361192</v>
      </c>
      <c r="G114" s="199">
        <v>334355</v>
      </c>
      <c r="H114" s="203">
        <f>ROUND((G114*(1+'Løntabel gældende fra'!$D$7%)),0)</f>
        <v>362745</v>
      </c>
      <c r="I114" s="201">
        <v>336425</v>
      </c>
      <c r="J114" s="202">
        <f>ROUND((I114*(1+'Løntabel gældende fra'!$D$7%)),0)</f>
        <v>364991</v>
      </c>
      <c r="K114" s="199">
        <v>337859</v>
      </c>
      <c r="L114" s="203">
        <f>ROUND((K114*(1+'Løntabel gældende fra'!$D$7%)),0)</f>
        <v>366547</v>
      </c>
      <c r="M114" s="436"/>
      <c r="N114" s="415">
        <v>326457.34000000003</v>
      </c>
      <c r="O114" s="416">
        <f>ROUND(N114*(1+'Løntabel gældende fra'!$D$7%),2)</f>
        <v>354177.16</v>
      </c>
    </row>
    <row r="115" spans="1:15">
      <c r="A115" s="2069"/>
      <c r="B115" s="419" t="s">
        <v>240</v>
      </c>
      <c r="C115" s="422"/>
      <c r="D115" s="429">
        <f>ROUND(D114/12,2)</f>
        <v>29912.17</v>
      </c>
      <c r="E115" s="426">
        <f>E114/12</f>
        <v>27743.583333333332</v>
      </c>
      <c r="F115" s="411">
        <f>ROUND(F114/12,2)</f>
        <v>30099.33</v>
      </c>
      <c r="G115" s="422">
        <f>G114/12</f>
        <v>27862.916666666668</v>
      </c>
      <c r="H115" s="429">
        <f>ROUND(H114/12,2)</f>
        <v>30228.75</v>
      </c>
      <c r="I115" s="426">
        <f>I114/12</f>
        <v>28035.416666666668</v>
      </c>
      <c r="J115" s="411">
        <f>ROUND(J114/12,2)</f>
        <v>30415.919999999998</v>
      </c>
      <c r="K115" s="422">
        <f>K114/12</f>
        <v>28154.916666666668</v>
      </c>
      <c r="L115" s="429">
        <f>ROUND(L114/12,2)</f>
        <v>30545.58</v>
      </c>
      <c r="M115" s="434"/>
      <c r="N115" s="412"/>
      <c r="O115" s="414">
        <f>ROUND(O114/12,2)</f>
        <v>29514.76</v>
      </c>
    </row>
    <row r="116" spans="1:15" ht="16" thickBot="1">
      <c r="A116" s="2072"/>
      <c r="B116" s="421" t="s">
        <v>233</v>
      </c>
      <c r="C116" s="425">
        <f>C114/12</f>
        <v>27571.083333333332</v>
      </c>
      <c r="D116" s="205">
        <f>ROUND(D115/160.33,2)</f>
        <v>186.57</v>
      </c>
      <c r="E116" s="428"/>
      <c r="F116" s="205">
        <f t="shared" ref="F116:O116" si="37">ROUND(F115/160.33,2)</f>
        <v>187.73</v>
      </c>
      <c r="G116" s="205">
        <f t="shared" si="37"/>
        <v>173.78</v>
      </c>
      <c r="H116" s="205">
        <f t="shared" si="37"/>
        <v>188.54</v>
      </c>
      <c r="I116" s="205">
        <f t="shared" si="37"/>
        <v>174.86</v>
      </c>
      <c r="J116" s="205">
        <f t="shared" si="37"/>
        <v>189.71</v>
      </c>
      <c r="K116" s="205">
        <f t="shared" si="37"/>
        <v>175.61</v>
      </c>
      <c r="L116" s="205">
        <f t="shared" si="37"/>
        <v>190.52</v>
      </c>
      <c r="M116" s="205">
        <f t="shared" si="37"/>
        <v>0</v>
      </c>
      <c r="N116" s="205">
        <f t="shared" si="37"/>
        <v>0</v>
      </c>
      <c r="O116" s="205">
        <f t="shared" si="37"/>
        <v>184.09</v>
      </c>
    </row>
    <row r="117" spans="1:15">
      <c r="A117" s="2071">
        <v>38</v>
      </c>
      <c r="B117" s="211" t="s">
        <v>97</v>
      </c>
      <c r="C117" s="207">
        <v>336808</v>
      </c>
      <c r="D117" s="200">
        <f>ROUND((C117*(1+'Løntabel gældende fra'!$D$7%)),0)</f>
        <v>365407</v>
      </c>
      <c r="E117" s="208">
        <v>338540</v>
      </c>
      <c r="F117" s="209">
        <f>ROUND((E117*(1+'Løntabel gældende fra'!$D$7%)),0)</f>
        <v>367286</v>
      </c>
      <c r="G117" s="207">
        <v>339739</v>
      </c>
      <c r="H117" s="200">
        <f>ROUND((G117*(1+'Løntabel gældende fra'!$D$7%)),0)</f>
        <v>368587</v>
      </c>
      <c r="I117" s="208">
        <v>341471</v>
      </c>
      <c r="J117" s="209">
        <f>ROUND((I117*(1+'Løntabel gældende fra'!$D$7%)),0)</f>
        <v>370466</v>
      </c>
      <c r="K117" s="207">
        <v>342672</v>
      </c>
      <c r="L117" s="200">
        <f>ROUND((K117*(1+'Løntabel gældende fra'!$D$7%)),0)</f>
        <v>371769</v>
      </c>
      <c r="M117" s="435"/>
      <c r="N117" s="413">
        <v>333128.88</v>
      </c>
      <c r="O117" s="214">
        <f>ROUND(N117*(1+'Løntabel gældende fra'!$D$7%),2)</f>
        <v>361415.19</v>
      </c>
    </row>
    <row r="118" spans="1:15">
      <c r="A118" s="2069"/>
      <c r="B118" s="419" t="s">
        <v>240</v>
      </c>
      <c r="C118" s="422"/>
      <c r="D118" s="429">
        <f>ROUND(D117/12,2)</f>
        <v>30450.58</v>
      </c>
      <c r="E118" s="426">
        <f>E117/12</f>
        <v>28211.666666666668</v>
      </c>
      <c r="F118" s="411">
        <f>ROUND(F117/12,2)</f>
        <v>30607.17</v>
      </c>
      <c r="G118" s="422">
        <f>G117/12</f>
        <v>28311.583333333332</v>
      </c>
      <c r="H118" s="429">
        <f>ROUND(H117/12,2)</f>
        <v>30715.58</v>
      </c>
      <c r="I118" s="426">
        <f>I117/12</f>
        <v>28455.916666666668</v>
      </c>
      <c r="J118" s="411">
        <f>ROUND(J117/12,2)</f>
        <v>30872.17</v>
      </c>
      <c r="K118" s="422">
        <f>K117/12</f>
        <v>28556</v>
      </c>
      <c r="L118" s="429">
        <f>ROUND(L117/12,2)</f>
        <v>30980.75</v>
      </c>
      <c r="M118" s="434"/>
      <c r="N118" s="412"/>
      <c r="O118" s="414">
        <f>ROUND(O117/12,2)</f>
        <v>30117.93</v>
      </c>
    </row>
    <row r="119" spans="1:15" ht="16" thickBot="1">
      <c r="A119" s="2070"/>
      <c r="B119" s="420" t="s">
        <v>233</v>
      </c>
      <c r="C119" s="204">
        <f>C117/12</f>
        <v>28067.333333333332</v>
      </c>
      <c r="D119" s="205">
        <f>ROUND(D118/160.33,2)</f>
        <v>189.92</v>
      </c>
      <c r="E119" s="427"/>
      <c r="F119" s="205">
        <f t="shared" ref="F119:O119" si="38">ROUND(F118/160.33,2)</f>
        <v>190.9</v>
      </c>
      <c r="G119" s="205">
        <f t="shared" si="38"/>
        <v>176.58</v>
      </c>
      <c r="H119" s="205">
        <f t="shared" si="38"/>
        <v>191.58</v>
      </c>
      <c r="I119" s="205">
        <f t="shared" si="38"/>
        <v>177.48</v>
      </c>
      <c r="J119" s="205">
        <f t="shared" si="38"/>
        <v>192.55</v>
      </c>
      <c r="K119" s="205">
        <f t="shared" si="38"/>
        <v>178.11</v>
      </c>
      <c r="L119" s="205">
        <f t="shared" si="38"/>
        <v>193.23</v>
      </c>
      <c r="M119" s="205">
        <f t="shared" si="38"/>
        <v>0</v>
      </c>
      <c r="N119" s="205">
        <f t="shared" si="38"/>
        <v>0</v>
      </c>
      <c r="O119" s="205">
        <f t="shared" si="38"/>
        <v>187.85</v>
      </c>
    </row>
    <row r="120" spans="1:15">
      <c r="A120" s="2068">
        <v>39</v>
      </c>
      <c r="B120" s="210" t="s">
        <v>97</v>
      </c>
      <c r="C120" s="199">
        <v>342821</v>
      </c>
      <c r="D120" s="203">
        <f>ROUND((C120*(1+'Løntabel gældende fra'!$D$7%)),0)</f>
        <v>371930</v>
      </c>
      <c r="E120" s="201">
        <v>344156</v>
      </c>
      <c r="F120" s="202">
        <f>ROUND((E120*(1+'Løntabel gældende fra'!$D$7%)),0)</f>
        <v>373379</v>
      </c>
      <c r="G120" s="199">
        <v>345080</v>
      </c>
      <c r="H120" s="203">
        <f>ROUND((G120*(1+'Løntabel gældende fra'!$D$7%)),0)</f>
        <v>374381</v>
      </c>
      <c r="I120" s="201">
        <v>346413</v>
      </c>
      <c r="J120" s="202">
        <f>ROUND((I120*(1+'Løntabel gældende fra'!$D$7%)),0)</f>
        <v>375827</v>
      </c>
      <c r="K120" s="199">
        <v>347337</v>
      </c>
      <c r="L120" s="203">
        <f>ROUND((K120*(1+'Løntabel gældende fra'!$D$7%)),0)</f>
        <v>376830</v>
      </c>
      <c r="M120" s="436"/>
      <c r="N120" s="415">
        <v>339989.41</v>
      </c>
      <c r="O120" s="416">
        <f>ROUND(N120*(1+'Løntabel gældende fra'!$D$7%),2)</f>
        <v>368858.25</v>
      </c>
    </row>
    <row r="121" spans="1:15">
      <c r="A121" s="2069"/>
      <c r="B121" s="419" t="s">
        <v>240</v>
      </c>
      <c r="C121" s="422"/>
      <c r="D121" s="429">
        <f>ROUND(D120/12,2)</f>
        <v>30994.17</v>
      </c>
      <c r="E121" s="426">
        <f>E120/12</f>
        <v>28679.666666666668</v>
      </c>
      <c r="F121" s="411">
        <f>ROUND(F120/12,2)</f>
        <v>31114.92</v>
      </c>
      <c r="G121" s="422">
        <f>G120/12</f>
        <v>28756.666666666668</v>
      </c>
      <c r="H121" s="429">
        <f>ROUND(H120/12,2)</f>
        <v>31198.42</v>
      </c>
      <c r="I121" s="426">
        <f>I120/12</f>
        <v>28867.75</v>
      </c>
      <c r="J121" s="411">
        <f>ROUND(J120/12,2)</f>
        <v>31318.92</v>
      </c>
      <c r="K121" s="422">
        <f>K120/12</f>
        <v>28944.75</v>
      </c>
      <c r="L121" s="429">
        <f>ROUND(L120/12,2)</f>
        <v>31402.5</v>
      </c>
      <c r="M121" s="434"/>
      <c r="N121" s="412"/>
      <c r="O121" s="414">
        <f>ROUND(O120/12,2)</f>
        <v>30738.19</v>
      </c>
    </row>
    <row r="122" spans="1:15" ht="16" thickBot="1">
      <c r="A122" s="2072"/>
      <c r="B122" s="421" t="s">
        <v>233</v>
      </c>
      <c r="C122" s="425">
        <f>C120/12</f>
        <v>28568.416666666668</v>
      </c>
      <c r="D122" s="205">
        <f>ROUND(D121/160.33,2)</f>
        <v>193.31</v>
      </c>
      <c r="E122" s="428"/>
      <c r="F122" s="205">
        <f t="shared" ref="F122:O122" si="39">ROUND(F121/160.33,2)</f>
        <v>194.07</v>
      </c>
      <c r="G122" s="205">
        <f t="shared" si="39"/>
        <v>179.36</v>
      </c>
      <c r="H122" s="205">
        <f t="shared" si="39"/>
        <v>194.59</v>
      </c>
      <c r="I122" s="205">
        <f t="shared" si="39"/>
        <v>180.05</v>
      </c>
      <c r="J122" s="205">
        <f t="shared" si="39"/>
        <v>195.34</v>
      </c>
      <c r="K122" s="205">
        <f t="shared" si="39"/>
        <v>180.53</v>
      </c>
      <c r="L122" s="205">
        <f t="shared" si="39"/>
        <v>195.86</v>
      </c>
      <c r="M122" s="205">
        <f t="shared" si="39"/>
        <v>0</v>
      </c>
      <c r="N122" s="205">
        <f t="shared" si="39"/>
        <v>0</v>
      </c>
      <c r="O122" s="205">
        <f t="shared" si="39"/>
        <v>191.72</v>
      </c>
    </row>
    <row r="123" spans="1:15">
      <c r="A123" s="2071">
        <v>40</v>
      </c>
      <c r="B123" s="211" t="s">
        <v>97</v>
      </c>
      <c r="C123" s="207">
        <v>348966</v>
      </c>
      <c r="D123" s="200">
        <f>ROUND((C123*(1+'Løntabel gældende fra'!$D$7%)),0)</f>
        <v>378597</v>
      </c>
      <c r="E123" s="208">
        <v>349878</v>
      </c>
      <c r="F123" s="209">
        <f>ROUND((E123*(1+'Løntabel gældende fra'!$D$7%)),0)</f>
        <v>379586</v>
      </c>
      <c r="G123" s="207">
        <v>350510</v>
      </c>
      <c r="H123" s="200">
        <f>ROUND((G123*(1+'Løntabel gældende fra'!$D$7%)),0)</f>
        <v>380272</v>
      </c>
      <c r="I123" s="208">
        <v>351422</v>
      </c>
      <c r="J123" s="209">
        <f>ROUND((I123*(1+'Løntabel gældende fra'!$D$7%)),0)</f>
        <v>381262</v>
      </c>
      <c r="K123" s="207">
        <v>352054</v>
      </c>
      <c r="L123" s="200">
        <f>ROUND((K123*(1+'Løntabel gældende fra'!$D$7%)),0)</f>
        <v>381947</v>
      </c>
      <c r="M123" s="435"/>
      <c r="N123" s="413">
        <v>347027.46</v>
      </c>
      <c r="O123" s="214">
        <f>ROUND(N123*(1+'Løntabel gældende fra'!$D$7%),2)</f>
        <v>376493.91</v>
      </c>
    </row>
    <row r="124" spans="1:15">
      <c r="A124" s="2069"/>
      <c r="B124" s="419" t="s">
        <v>240</v>
      </c>
      <c r="C124" s="422"/>
      <c r="D124" s="429">
        <f>ROUND(D123/12,2)</f>
        <v>31549.75</v>
      </c>
      <c r="E124" s="426">
        <f>E123/12</f>
        <v>29156.5</v>
      </c>
      <c r="F124" s="411">
        <f>ROUND(F123/12,2)</f>
        <v>31632.17</v>
      </c>
      <c r="G124" s="422">
        <f>G123/12</f>
        <v>29209.166666666668</v>
      </c>
      <c r="H124" s="429">
        <f>ROUND(H123/12,2)</f>
        <v>31689.33</v>
      </c>
      <c r="I124" s="426">
        <f>I123/12</f>
        <v>29285.166666666668</v>
      </c>
      <c r="J124" s="411">
        <f>ROUND(J123/12,2)</f>
        <v>31771.83</v>
      </c>
      <c r="K124" s="422">
        <f>K123/12</f>
        <v>29337.833333333332</v>
      </c>
      <c r="L124" s="429">
        <f>ROUND(L123/12,2)</f>
        <v>31828.92</v>
      </c>
      <c r="M124" s="434"/>
      <c r="N124" s="412"/>
      <c r="O124" s="414">
        <f>ROUND(O123/12,2)</f>
        <v>31374.49</v>
      </c>
    </row>
    <row r="125" spans="1:15" ht="16" thickBot="1">
      <c r="A125" s="2070"/>
      <c r="B125" s="420" t="s">
        <v>233</v>
      </c>
      <c r="C125" s="204">
        <f>C123/12</f>
        <v>29080.5</v>
      </c>
      <c r="D125" s="205">
        <f>ROUND(D124/160.33,2)</f>
        <v>196.78</v>
      </c>
      <c r="E125" s="427"/>
      <c r="F125" s="205">
        <f t="shared" ref="F125:O125" si="40">ROUND(F124/160.33,2)</f>
        <v>197.29</v>
      </c>
      <c r="G125" s="205">
        <f t="shared" si="40"/>
        <v>182.18</v>
      </c>
      <c r="H125" s="205">
        <f t="shared" si="40"/>
        <v>197.65</v>
      </c>
      <c r="I125" s="205">
        <f t="shared" si="40"/>
        <v>182.66</v>
      </c>
      <c r="J125" s="205">
        <f t="shared" si="40"/>
        <v>198.17</v>
      </c>
      <c r="K125" s="205">
        <f t="shared" si="40"/>
        <v>182.98</v>
      </c>
      <c r="L125" s="205">
        <f t="shared" si="40"/>
        <v>198.52</v>
      </c>
      <c r="M125" s="205">
        <f t="shared" si="40"/>
        <v>0</v>
      </c>
      <c r="N125" s="205">
        <f t="shared" si="40"/>
        <v>0</v>
      </c>
      <c r="O125" s="205">
        <f t="shared" si="40"/>
        <v>195.69</v>
      </c>
    </row>
    <row r="126" spans="1:15">
      <c r="A126" s="2068">
        <v>41</v>
      </c>
      <c r="B126" s="210" t="s">
        <v>97</v>
      </c>
      <c r="C126" s="199">
        <v>355245</v>
      </c>
      <c r="D126" s="203">
        <f>ROUND((C126*(1+'Løntabel gældende fra'!$D$7%)),0)</f>
        <v>385409</v>
      </c>
      <c r="E126" s="201">
        <v>355712</v>
      </c>
      <c r="F126" s="202">
        <f>ROUND((E126*(1+'Løntabel gældende fra'!$D$7%)),0)</f>
        <v>385916</v>
      </c>
      <c r="G126" s="199">
        <v>356037</v>
      </c>
      <c r="H126" s="203">
        <f>ROUND((G126*(1+'Løntabel gældende fra'!$D$7%)),0)</f>
        <v>386268</v>
      </c>
      <c r="I126" s="201">
        <v>356505</v>
      </c>
      <c r="J126" s="202">
        <f>ROUND((I126*(1+'Løntabel gældende fra'!$D$7%)),0)</f>
        <v>386776</v>
      </c>
      <c r="K126" s="199">
        <v>356828</v>
      </c>
      <c r="L126" s="203">
        <f>ROUND((K126*(1+'Løntabel gældende fra'!$D$7%)),0)</f>
        <v>387127</v>
      </c>
      <c r="M126" s="436"/>
      <c r="N126" s="415">
        <v>354249.23</v>
      </c>
      <c r="O126" s="416">
        <f>ROUND(N126*(1+'Løntabel gældende fra'!$D$7%),2)</f>
        <v>384328.89</v>
      </c>
    </row>
    <row r="127" spans="1:15">
      <c r="A127" s="2069"/>
      <c r="B127" s="419" t="s">
        <v>240</v>
      </c>
      <c r="C127" s="422"/>
      <c r="D127" s="429">
        <f>ROUND(D126/12,2)</f>
        <v>32117.42</v>
      </c>
      <c r="E127" s="426">
        <f>E126/12</f>
        <v>29642.666666666668</v>
      </c>
      <c r="F127" s="411">
        <f>ROUND(F126/12,2)</f>
        <v>32159.67</v>
      </c>
      <c r="G127" s="422">
        <f>G126/12</f>
        <v>29669.75</v>
      </c>
      <c r="H127" s="429">
        <f>ROUND(H126/12,2)</f>
        <v>32189</v>
      </c>
      <c r="I127" s="426">
        <f>I126/12</f>
        <v>29708.75</v>
      </c>
      <c r="J127" s="411">
        <f>ROUND(J126/12,2)</f>
        <v>32231.33</v>
      </c>
      <c r="K127" s="422">
        <f>K126/12</f>
        <v>29735.666666666668</v>
      </c>
      <c r="L127" s="429">
        <f>ROUND(L126/12,2)</f>
        <v>32260.58</v>
      </c>
      <c r="M127" s="434"/>
      <c r="N127" s="412"/>
      <c r="O127" s="414">
        <f>ROUND(O126/12,2)</f>
        <v>32027.41</v>
      </c>
    </row>
    <row r="128" spans="1:15" ht="16" thickBot="1">
      <c r="A128" s="2072"/>
      <c r="B128" s="421" t="s">
        <v>233</v>
      </c>
      <c r="C128" s="425">
        <f>C126/12</f>
        <v>29603.75</v>
      </c>
      <c r="D128" s="205">
        <f>ROUND(D127/160.33,2)</f>
        <v>200.32</v>
      </c>
      <c r="E128" s="428"/>
      <c r="F128" s="205">
        <f t="shared" ref="F128:O128" si="41">ROUND(F127/160.33,2)</f>
        <v>200.58</v>
      </c>
      <c r="G128" s="205">
        <f t="shared" si="41"/>
        <v>185.05</v>
      </c>
      <c r="H128" s="205">
        <f t="shared" si="41"/>
        <v>200.77</v>
      </c>
      <c r="I128" s="205">
        <f t="shared" si="41"/>
        <v>185.3</v>
      </c>
      <c r="J128" s="205">
        <f t="shared" si="41"/>
        <v>201.03</v>
      </c>
      <c r="K128" s="205">
        <f t="shared" si="41"/>
        <v>185.47</v>
      </c>
      <c r="L128" s="205">
        <f t="shared" si="41"/>
        <v>201.21</v>
      </c>
      <c r="M128" s="205">
        <f t="shared" si="41"/>
        <v>0</v>
      </c>
      <c r="N128" s="205">
        <f t="shared" si="41"/>
        <v>0</v>
      </c>
      <c r="O128" s="205">
        <f t="shared" si="41"/>
        <v>199.76</v>
      </c>
    </row>
    <row r="129" spans="1:15">
      <c r="A129" s="2071">
        <v>42</v>
      </c>
      <c r="B129" s="211" t="s">
        <v>97</v>
      </c>
      <c r="C129" s="207">
        <v>361660</v>
      </c>
      <c r="D129" s="200">
        <f>ROUND((C129*(1+'Løntabel gældende fra'!$D$7%)),0)</f>
        <v>392369</v>
      </c>
      <c r="E129" s="208">
        <v>361660</v>
      </c>
      <c r="F129" s="209">
        <f>ROUND((E129*(1+'Løntabel gældende fra'!$D$7%)),0)</f>
        <v>392369</v>
      </c>
      <c r="G129" s="207">
        <v>361660</v>
      </c>
      <c r="H129" s="200">
        <f>ROUND((G129*(1+'Løntabel gældende fra'!$D$7%)),0)</f>
        <v>392369</v>
      </c>
      <c r="I129" s="208">
        <v>361660</v>
      </c>
      <c r="J129" s="209">
        <f>ROUND((I129*(1+'Løntabel gældende fra'!$D$7%)),0)</f>
        <v>392369</v>
      </c>
      <c r="K129" s="207">
        <v>361660</v>
      </c>
      <c r="L129" s="200">
        <f>ROUND((K129*(1+'Løntabel gældende fra'!$D$7%)),0)</f>
        <v>392369</v>
      </c>
      <c r="M129" s="435"/>
      <c r="N129" s="413">
        <v>361659.2</v>
      </c>
      <c r="O129" s="214">
        <f>ROUND(N129*(1+'Løntabel gældende fra'!$D$7%),2)</f>
        <v>392368.04</v>
      </c>
    </row>
    <row r="130" spans="1:15">
      <c r="A130" s="2069"/>
      <c r="B130" s="419" t="s">
        <v>240</v>
      </c>
      <c r="C130" s="422"/>
      <c r="D130" s="429">
        <f>ROUND(D129/12,2)</f>
        <v>32697.42</v>
      </c>
      <c r="E130" s="426">
        <f>E129/12</f>
        <v>30138.333333333332</v>
      </c>
      <c r="F130" s="411">
        <f>ROUND(F129/12,2)</f>
        <v>32697.42</v>
      </c>
      <c r="G130" s="422">
        <f>G129/12</f>
        <v>30138.333333333332</v>
      </c>
      <c r="H130" s="429">
        <f>ROUND(H129/12,2)</f>
        <v>32697.42</v>
      </c>
      <c r="I130" s="426">
        <f>I129/12</f>
        <v>30138.333333333332</v>
      </c>
      <c r="J130" s="411">
        <f>ROUND(J129/12,2)</f>
        <v>32697.42</v>
      </c>
      <c r="K130" s="422">
        <f>K129/12</f>
        <v>30138.333333333332</v>
      </c>
      <c r="L130" s="429">
        <f>ROUND(L129/12,2)</f>
        <v>32697.42</v>
      </c>
      <c r="M130" s="434"/>
      <c r="N130" s="412"/>
      <c r="O130" s="414">
        <f>ROUND(O129/12,2)</f>
        <v>32697.34</v>
      </c>
    </row>
    <row r="131" spans="1:15" ht="16" thickBot="1">
      <c r="A131" s="2070"/>
      <c r="B131" s="420" t="s">
        <v>233</v>
      </c>
      <c r="C131" s="204">
        <f>C129/12</f>
        <v>30138.333333333332</v>
      </c>
      <c r="D131" s="205">
        <f>ROUND(D130/160.33,2)</f>
        <v>203.94</v>
      </c>
      <c r="E131" s="427"/>
      <c r="F131" s="205">
        <f t="shared" ref="F131:O131" si="42">ROUND(F130/160.33,2)</f>
        <v>203.94</v>
      </c>
      <c r="G131" s="205">
        <f t="shared" si="42"/>
        <v>187.98</v>
      </c>
      <c r="H131" s="205">
        <f t="shared" si="42"/>
        <v>203.94</v>
      </c>
      <c r="I131" s="205">
        <f t="shared" si="42"/>
        <v>187.98</v>
      </c>
      <c r="J131" s="205">
        <f t="shared" si="42"/>
        <v>203.94</v>
      </c>
      <c r="K131" s="205">
        <f t="shared" si="42"/>
        <v>187.98</v>
      </c>
      <c r="L131" s="205">
        <f t="shared" si="42"/>
        <v>203.94</v>
      </c>
      <c r="M131" s="205">
        <f t="shared" si="42"/>
        <v>0</v>
      </c>
      <c r="N131" s="205">
        <f t="shared" si="42"/>
        <v>0</v>
      </c>
      <c r="O131" s="205">
        <f t="shared" si="42"/>
        <v>203.94</v>
      </c>
    </row>
    <row r="132" spans="1:15">
      <c r="A132" s="2068">
        <v>43</v>
      </c>
      <c r="B132" s="210" t="s">
        <v>97</v>
      </c>
      <c r="C132" s="199">
        <v>369689</v>
      </c>
      <c r="D132" s="203">
        <f>ROUND((C132*(1+'Løntabel gældende fra'!$D$7%)),0)</f>
        <v>401080</v>
      </c>
      <c r="E132" s="201">
        <v>369689</v>
      </c>
      <c r="F132" s="202">
        <f>ROUND((E132*(1+'Løntabel gældende fra'!$D$7%)),0)</f>
        <v>401080</v>
      </c>
      <c r="G132" s="199">
        <v>369689</v>
      </c>
      <c r="H132" s="203">
        <f>ROUND((G132*(1+'Løntabel gældende fra'!$D$7%)),0)</f>
        <v>401080</v>
      </c>
      <c r="I132" s="201">
        <v>369689</v>
      </c>
      <c r="J132" s="202">
        <f>ROUND((I132*(1+'Løntabel gældende fra'!$D$7%)),0)</f>
        <v>401080</v>
      </c>
      <c r="K132" s="199">
        <v>369689</v>
      </c>
      <c r="L132" s="203">
        <f>ROUND((K132*(1+'Løntabel gældende fra'!$D$7%)),0)</f>
        <v>401080</v>
      </c>
      <c r="M132" s="436"/>
      <c r="N132" s="415">
        <v>369688.53</v>
      </c>
      <c r="O132" s="416">
        <f>ROUND(N132*(1+'Løntabel gældende fra'!$D$7%),2)</f>
        <v>401079.15</v>
      </c>
    </row>
    <row r="133" spans="1:15">
      <c r="A133" s="2069"/>
      <c r="B133" s="419" t="s">
        <v>240</v>
      </c>
      <c r="C133" s="422"/>
      <c r="D133" s="429">
        <f>ROUND(D132/12,2)</f>
        <v>33423.33</v>
      </c>
      <c r="E133" s="426">
        <f>E132/12</f>
        <v>30807.416666666668</v>
      </c>
      <c r="F133" s="411">
        <f>ROUND(F132/12,2)</f>
        <v>33423.33</v>
      </c>
      <c r="G133" s="422">
        <f>G132/12</f>
        <v>30807.416666666668</v>
      </c>
      <c r="H133" s="429">
        <f>ROUND(H132/12,2)</f>
        <v>33423.33</v>
      </c>
      <c r="I133" s="426">
        <f>I132/12</f>
        <v>30807.416666666668</v>
      </c>
      <c r="J133" s="411">
        <f>ROUND(J132/12,2)</f>
        <v>33423.33</v>
      </c>
      <c r="K133" s="422">
        <f>K132/12</f>
        <v>30807.416666666668</v>
      </c>
      <c r="L133" s="429">
        <f>ROUND(L132/12,2)</f>
        <v>33423.33</v>
      </c>
      <c r="M133" s="434"/>
      <c r="N133" s="412"/>
      <c r="O133" s="414">
        <f>ROUND(O132/12,2)</f>
        <v>33423.26</v>
      </c>
    </row>
    <row r="134" spans="1:15" ht="16" thickBot="1">
      <c r="A134" s="2072"/>
      <c r="B134" s="421" t="s">
        <v>233</v>
      </c>
      <c r="C134" s="425">
        <f>C132/12</f>
        <v>30807.416666666668</v>
      </c>
      <c r="D134" s="205">
        <f>ROUND(D133/160.33,2)</f>
        <v>208.47</v>
      </c>
      <c r="E134" s="428"/>
      <c r="F134" s="205">
        <f t="shared" ref="F134:O134" si="43">ROUND(F133/160.33,2)</f>
        <v>208.47</v>
      </c>
      <c r="G134" s="205">
        <f t="shared" si="43"/>
        <v>192.15</v>
      </c>
      <c r="H134" s="205">
        <f t="shared" si="43"/>
        <v>208.47</v>
      </c>
      <c r="I134" s="205">
        <f t="shared" si="43"/>
        <v>192.15</v>
      </c>
      <c r="J134" s="205">
        <f t="shared" si="43"/>
        <v>208.47</v>
      </c>
      <c r="K134" s="205">
        <f t="shared" si="43"/>
        <v>192.15</v>
      </c>
      <c r="L134" s="205">
        <f t="shared" si="43"/>
        <v>208.47</v>
      </c>
      <c r="M134" s="205">
        <f t="shared" si="43"/>
        <v>0</v>
      </c>
      <c r="N134" s="205">
        <f t="shared" si="43"/>
        <v>0</v>
      </c>
      <c r="O134" s="205">
        <f t="shared" si="43"/>
        <v>208.47</v>
      </c>
    </row>
    <row r="135" spans="1:15">
      <c r="A135" s="2071">
        <v>44</v>
      </c>
      <c r="B135" s="211" t="s">
        <v>97</v>
      </c>
      <c r="C135" s="207">
        <v>377937</v>
      </c>
      <c r="D135" s="200">
        <f>ROUND((C135*(1+'Løntabel gældende fra'!$D$7%)),0)</f>
        <v>410028</v>
      </c>
      <c r="E135" s="208">
        <v>377937</v>
      </c>
      <c r="F135" s="209">
        <f>ROUND((E135*(1+'Løntabel gældende fra'!$D$7%)),0)</f>
        <v>410028</v>
      </c>
      <c r="G135" s="207">
        <v>377937</v>
      </c>
      <c r="H135" s="200">
        <f>ROUND((G135*(1+'Løntabel gældende fra'!$D$7%)),0)</f>
        <v>410028</v>
      </c>
      <c r="I135" s="208">
        <v>377937</v>
      </c>
      <c r="J135" s="209">
        <f>ROUND((I135*(1+'Løntabel gældende fra'!$D$7%)),0)</f>
        <v>410028</v>
      </c>
      <c r="K135" s="207">
        <v>377937</v>
      </c>
      <c r="L135" s="200">
        <f>ROUND((K135*(1+'Løntabel gældende fra'!$D$7%)),0)</f>
        <v>410028</v>
      </c>
      <c r="M135" s="435"/>
      <c r="N135" s="413">
        <v>377937.3</v>
      </c>
      <c r="O135" s="214">
        <f>ROUND(N135*(1+'Løntabel gældende fra'!$D$7%),2)</f>
        <v>410028.33</v>
      </c>
    </row>
    <row r="136" spans="1:15">
      <c r="A136" s="2069"/>
      <c r="B136" s="419" t="s">
        <v>240</v>
      </c>
      <c r="C136" s="422"/>
      <c r="D136" s="429">
        <f>ROUND(D135/12,2)</f>
        <v>34169</v>
      </c>
      <c r="E136" s="426">
        <f>E135/12</f>
        <v>31494.75</v>
      </c>
      <c r="F136" s="411">
        <f>ROUND(F135/12,2)</f>
        <v>34169</v>
      </c>
      <c r="G136" s="422">
        <f>G135/12</f>
        <v>31494.75</v>
      </c>
      <c r="H136" s="429">
        <f>ROUND(H135/12,2)</f>
        <v>34169</v>
      </c>
      <c r="I136" s="426">
        <f>I135/12</f>
        <v>31494.75</v>
      </c>
      <c r="J136" s="411">
        <f>ROUND(J135/12,2)</f>
        <v>34169</v>
      </c>
      <c r="K136" s="422">
        <f>K135/12</f>
        <v>31494.75</v>
      </c>
      <c r="L136" s="429">
        <f>ROUND(L135/12,2)</f>
        <v>34169</v>
      </c>
      <c r="M136" s="434"/>
      <c r="N136" s="412"/>
      <c r="O136" s="414">
        <f>ROUND(O135/12,2)</f>
        <v>34169.03</v>
      </c>
    </row>
    <row r="137" spans="1:15" ht="16" thickBot="1">
      <c r="A137" s="2070"/>
      <c r="B137" s="420" t="s">
        <v>233</v>
      </c>
      <c r="C137" s="204">
        <f>C135/12</f>
        <v>31494.75</v>
      </c>
      <c r="D137" s="205">
        <f>ROUND(D136/160.33,2)</f>
        <v>213.12</v>
      </c>
      <c r="E137" s="427"/>
      <c r="F137" s="205">
        <f t="shared" ref="F137:O137" si="44">ROUND(F136/160.33,2)</f>
        <v>213.12</v>
      </c>
      <c r="G137" s="205">
        <f t="shared" si="44"/>
        <v>196.44</v>
      </c>
      <c r="H137" s="205">
        <f t="shared" si="44"/>
        <v>213.12</v>
      </c>
      <c r="I137" s="205">
        <f t="shared" si="44"/>
        <v>196.44</v>
      </c>
      <c r="J137" s="205">
        <f t="shared" si="44"/>
        <v>213.12</v>
      </c>
      <c r="K137" s="205">
        <f t="shared" si="44"/>
        <v>196.44</v>
      </c>
      <c r="L137" s="205">
        <f t="shared" si="44"/>
        <v>213.12</v>
      </c>
      <c r="M137" s="205">
        <f t="shared" si="44"/>
        <v>0</v>
      </c>
      <c r="N137" s="205">
        <f t="shared" si="44"/>
        <v>0</v>
      </c>
      <c r="O137" s="205">
        <f t="shared" si="44"/>
        <v>213.12</v>
      </c>
    </row>
    <row r="138" spans="1:15">
      <c r="A138" s="2071">
        <v>45</v>
      </c>
      <c r="B138" s="211" t="s">
        <v>97</v>
      </c>
      <c r="C138" s="207">
        <v>386414</v>
      </c>
      <c r="D138" s="200">
        <f>ROUND((C138*(1+'Løntabel gældende fra'!$D$7%)),0)</f>
        <v>419225</v>
      </c>
      <c r="E138" s="208">
        <v>386414</v>
      </c>
      <c r="F138" s="209">
        <f>ROUND((E138*(1+'Løntabel gældende fra'!$D$7%)),0)</f>
        <v>419225</v>
      </c>
      <c r="G138" s="207">
        <v>386414</v>
      </c>
      <c r="H138" s="200">
        <f>ROUND((G138*(1+'Løntabel gældende fra'!$D$7%)),0)</f>
        <v>419225</v>
      </c>
      <c r="I138" s="208">
        <v>386414</v>
      </c>
      <c r="J138" s="209">
        <f>ROUND((I138*(1+'Løntabel gældende fra'!$D$7%)),0)</f>
        <v>419225</v>
      </c>
      <c r="K138" s="207">
        <v>386414</v>
      </c>
      <c r="L138" s="200">
        <f>ROUND((K138*(1+'Løntabel gældende fra'!$D$7%)),0)</f>
        <v>419225</v>
      </c>
      <c r="M138" s="435"/>
      <c r="N138" s="413">
        <v>386414.29</v>
      </c>
      <c r="O138" s="214">
        <f>ROUND(N138*(1+'Løntabel gældende fra'!$D$7%),2)</f>
        <v>419225.11</v>
      </c>
    </row>
    <row r="139" spans="1:15">
      <c r="A139" s="2069"/>
      <c r="B139" s="419" t="s">
        <v>240</v>
      </c>
      <c r="C139" s="422"/>
      <c r="D139" s="429">
        <f>ROUND(D138/12,2)</f>
        <v>34935.42</v>
      </c>
      <c r="E139" s="426">
        <f>E138/12</f>
        <v>32201.166666666668</v>
      </c>
      <c r="F139" s="411">
        <f>ROUND(F138/12,2)</f>
        <v>34935.42</v>
      </c>
      <c r="G139" s="422">
        <f>G138/12</f>
        <v>32201.166666666668</v>
      </c>
      <c r="H139" s="429">
        <f>ROUND(H138/12,2)</f>
        <v>34935.42</v>
      </c>
      <c r="I139" s="426">
        <f>I138/12</f>
        <v>32201.166666666668</v>
      </c>
      <c r="J139" s="411">
        <f>ROUND(J138/12,2)</f>
        <v>34935.42</v>
      </c>
      <c r="K139" s="422">
        <f>K138/12</f>
        <v>32201.166666666668</v>
      </c>
      <c r="L139" s="429">
        <f>ROUND(L138/12,2)</f>
        <v>34935.42</v>
      </c>
      <c r="M139" s="434"/>
      <c r="N139" s="412"/>
      <c r="O139" s="414">
        <f>ROUND(O138/12,2)</f>
        <v>34935.43</v>
      </c>
    </row>
    <row r="140" spans="1:15" ht="16" thickBot="1">
      <c r="A140" s="2070"/>
      <c r="B140" s="420" t="s">
        <v>233</v>
      </c>
      <c r="C140" s="204">
        <f>C138/12</f>
        <v>32201.166666666668</v>
      </c>
      <c r="D140" s="205">
        <f>ROUND(D139/160.33,2)</f>
        <v>217.9</v>
      </c>
      <c r="E140" s="427"/>
      <c r="F140" s="205">
        <f t="shared" ref="F140:O140" si="45">ROUND(F139/160.33,2)</f>
        <v>217.9</v>
      </c>
      <c r="G140" s="205">
        <f t="shared" si="45"/>
        <v>200.84</v>
      </c>
      <c r="H140" s="205">
        <f t="shared" si="45"/>
        <v>217.9</v>
      </c>
      <c r="I140" s="205">
        <f t="shared" si="45"/>
        <v>200.84</v>
      </c>
      <c r="J140" s="205">
        <f t="shared" si="45"/>
        <v>217.9</v>
      </c>
      <c r="K140" s="205">
        <f t="shared" si="45"/>
        <v>200.84</v>
      </c>
      <c r="L140" s="205">
        <f t="shared" si="45"/>
        <v>217.9</v>
      </c>
      <c r="M140" s="205">
        <f t="shared" si="45"/>
        <v>0</v>
      </c>
      <c r="N140" s="205">
        <f t="shared" si="45"/>
        <v>0</v>
      </c>
      <c r="O140" s="205">
        <f t="shared" si="45"/>
        <v>217.9</v>
      </c>
    </row>
    <row r="141" spans="1:15">
      <c r="A141" s="2071">
        <v>46</v>
      </c>
      <c r="B141" s="211" t="s">
        <v>97</v>
      </c>
      <c r="C141" s="207">
        <v>395125</v>
      </c>
      <c r="D141" s="200">
        <f>ROUND((C141*(1+'Løntabel gældende fra'!$D$7%)),0)</f>
        <v>428675</v>
      </c>
      <c r="E141" s="208">
        <v>395125</v>
      </c>
      <c r="F141" s="209">
        <f>ROUND((E141*(1+'Løntabel gældende fra'!$D$7%)),0)</f>
        <v>428675</v>
      </c>
      <c r="G141" s="207">
        <v>395125</v>
      </c>
      <c r="H141" s="200">
        <f>ROUND((G141*(1+'Løntabel gældende fra'!$D$7%)),0)</f>
        <v>428675</v>
      </c>
      <c r="I141" s="208">
        <v>395125</v>
      </c>
      <c r="J141" s="209">
        <f>ROUND((I141*(1+'Løntabel gældende fra'!$D$7%)),0)</f>
        <v>428675</v>
      </c>
      <c r="K141" s="207">
        <v>395125</v>
      </c>
      <c r="L141" s="200">
        <f>ROUND((K141*(1+'Løntabel gældende fra'!$D$7%)),0)</f>
        <v>428675</v>
      </c>
      <c r="M141" s="435"/>
      <c r="N141" s="413">
        <v>395124.74</v>
      </c>
      <c r="O141" s="214">
        <f>ROUND(N141*(1+'Løntabel gældende fra'!$D$7%),2)</f>
        <v>428675.18</v>
      </c>
    </row>
    <row r="142" spans="1:15">
      <c r="A142" s="2069"/>
      <c r="B142" s="419" t="s">
        <v>98</v>
      </c>
      <c r="C142" s="422"/>
      <c r="D142" s="429">
        <f>ROUND(D141/12,2)</f>
        <v>35722.92</v>
      </c>
      <c r="E142" s="426">
        <f>E141/12</f>
        <v>32927.083333333336</v>
      </c>
      <c r="F142" s="411">
        <f>ROUND(F141/12,2)</f>
        <v>35722.92</v>
      </c>
      <c r="G142" s="422">
        <f>G141/12</f>
        <v>32927.083333333336</v>
      </c>
      <c r="H142" s="429">
        <f>ROUND(H141/12,2)</f>
        <v>35722.92</v>
      </c>
      <c r="I142" s="426">
        <f>I141/12</f>
        <v>32927.083333333336</v>
      </c>
      <c r="J142" s="411">
        <f>ROUND(J141/12,2)</f>
        <v>35722.92</v>
      </c>
      <c r="K142" s="422">
        <f>K141/12</f>
        <v>32927.083333333336</v>
      </c>
      <c r="L142" s="429">
        <f>ROUND(L141/12,2)</f>
        <v>35722.92</v>
      </c>
      <c r="M142" s="434"/>
      <c r="N142" s="412"/>
      <c r="O142" s="414">
        <f>ROUND(O141/12,2)</f>
        <v>35722.93</v>
      </c>
    </row>
    <row r="143" spans="1:15" ht="16" thickBot="1">
      <c r="A143" s="2070"/>
      <c r="B143" s="420" t="s">
        <v>233</v>
      </c>
      <c r="C143" s="204">
        <f>C141/12</f>
        <v>32927.083333333336</v>
      </c>
      <c r="D143" s="205">
        <f>ROUND(D142/160.33,2)</f>
        <v>222.81</v>
      </c>
      <c r="E143" s="427"/>
      <c r="F143" s="205">
        <f t="shared" ref="F143:O143" si="46">ROUND(F142/160.33,2)</f>
        <v>222.81</v>
      </c>
      <c r="G143" s="205">
        <f t="shared" si="46"/>
        <v>205.37</v>
      </c>
      <c r="H143" s="205">
        <f t="shared" si="46"/>
        <v>222.81</v>
      </c>
      <c r="I143" s="205">
        <f t="shared" si="46"/>
        <v>205.37</v>
      </c>
      <c r="J143" s="205">
        <f t="shared" si="46"/>
        <v>222.81</v>
      </c>
      <c r="K143" s="205">
        <f t="shared" si="46"/>
        <v>205.37</v>
      </c>
      <c r="L143" s="205">
        <f t="shared" si="46"/>
        <v>222.81</v>
      </c>
      <c r="M143" s="205">
        <f t="shared" si="46"/>
        <v>0</v>
      </c>
      <c r="N143" s="205">
        <f t="shared" si="46"/>
        <v>0</v>
      </c>
      <c r="O143" s="205">
        <f t="shared" si="46"/>
        <v>222.81</v>
      </c>
    </row>
    <row r="144" spans="1:15">
      <c r="A144" s="2068">
        <v>47</v>
      </c>
      <c r="B144" s="210" t="s">
        <v>97</v>
      </c>
      <c r="C144" s="199">
        <v>413269</v>
      </c>
      <c r="D144" s="203">
        <f>ROUND((C144*(1+'Løntabel gældende fra'!$D$7%)),0)</f>
        <v>448360</v>
      </c>
      <c r="E144" s="201">
        <v>413269</v>
      </c>
      <c r="F144" s="202">
        <f>ROUND((E144*(1+'Løntabel gældende fra'!$D$7%)),0)</f>
        <v>448360</v>
      </c>
      <c r="G144" s="199">
        <v>413269</v>
      </c>
      <c r="H144" s="203">
        <f>ROUND((G144*(1+'Løntabel gældende fra'!$D$7%)),0)</f>
        <v>448360</v>
      </c>
      <c r="I144" s="201">
        <v>413269</v>
      </c>
      <c r="J144" s="202">
        <f>ROUND((I144*(1+'Løntabel gældende fra'!$D$7%)),0)</f>
        <v>448360</v>
      </c>
      <c r="K144" s="199">
        <v>413269</v>
      </c>
      <c r="L144" s="203">
        <f>ROUND((K144*(1+'Løntabel gældende fra'!$D$7%)),0)</f>
        <v>448360</v>
      </c>
      <c r="M144" s="436"/>
      <c r="N144" s="415">
        <v>413268.87</v>
      </c>
      <c r="O144" s="416">
        <f>ROUND(N144*(1+'Løntabel gældende fra'!$D$7%),2)</f>
        <v>448359.94</v>
      </c>
    </row>
    <row r="145" spans="1:15">
      <c r="A145" s="2069"/>
      <c r="B145" s="419" t="s">
        <v>240</v>
      </c>
      <c r="C145" s="422"/>
      <c r="D145" s="429">
        <f>ROUND(D144/12,2)</f>
        <v>37363.33</v>
      </c>
      <c r="E145" s="426">
        <f>E144/12</f>
        <v>34439.083333333336</v>
      </c>
      <c r="F145" s="411">
        <f>ROUND(F144/12,2)</f>
        <v>37363.33</v>
      </c>
      <c r="G145" s="422">
        <f>G144/12</f>
        <v>34439.083333333336</v>
      </c>
      <c r="H145" s="429">
        <f>ROUND(H144/12,2)</f>
        <v>37363.33</v>
      </c>
      <c r="I145" s="426">
        <f>I144/12</f>
        <v>34439.083333333336</v>
      </c>
      <c r="J145" s="411">
        <f>ROUND(J144/12,2)</f>
        <v>37363.33</v>
      </c>
      <c r="K145" s="422">
        <f>K144/12</f>
        <v>34439.083333333336</v>
      </c>
      <c r="L145" s="429">
        <f>ROUND(L144/12,2)</f>
        <v>37363.33</v>
      </c>
      <c r="M145" s="434"/>
      <c r="N145" s="412"/>
      <c r="O145" s="414">
        <f>ROUND(O144/12,2)</f>
        <v>37363.33</v>
      </c>
    </row>
    <row r="146" spans="1:15" ht="16" thickBot="1">
      <c r="A146" s="2072"/>
      <c r="B146" s="421" t="s">
        <v>233</v>
      </c>
      <c r="C146" s="425">
        <f>C144/12</f>
        <v>34439.083333333336</v>
      </c>
      <c r="D146" s="205">
        <f>ROUND(D145/160.33,2)</f>
        <v>233.04</v>
      </c>
      <c r="E146" s="428"/>
      <c r="F146" s="205">
        <f t="shared" ref="F146:O146" si="47">ROUND(F145/160.33,2)</f>
        <v>233.04</v>
      </c>
      <c r="G146" s="205">
        <f t="shared" si="47"/>
        <v>214.8</v>
      </c>
      <c r="H146" s="205">
        <f t="shared" si="47"/>
        <v>233.04</v>
      </c>
      <c r="I146" s="205">
        <f t="shared" si="47"/>
        <v>214.8</v>
      </c>
      <c r="J146" s="205">
        <f t="shared" si="47"/>
        <v>233.04</v>
      </c>
      <c r="K146" s="205">
        <f t="shared" si="47"/>
        <v>214.8</v>
      </c>
      <c r="L146" s="205">
        <f t="shared" si="47"/>
        <v>233.04</v>
      </c>
      <c r="M146" s="205">
        <f t="shared" si="47"/>
        <v>0</v>
      </c>
      <c r="N146" s="205">
        <f t="shared" si="47"/>
        <v>0</v>
      </c>
      <c r="O146" s="205">
        <f t="shared" si="47"/>
        <v>233.04</v>
      </c>
    </row>
    <row r="147" spans="1:15">
      <c r="A147" s="2071">
        <v>48</v>
      </c>
      <c r="B147" s="211" t="s">
        <v>97</v>
      </c>
      <c r="C147" s="207">
        <v>441027</v>
      </c>
      <c r="D147" s="200">
        <f>ROUND((C147*(1+'Løntabel gældende fra'!$D$7%)),0)</f>
        <v>478475</v>
      </c>
      <c r="E147" s="208">
        <v>441027</v>
      </c>
      <c r="F147" s="209">
        <f>ROUND((E147*(1+'Løntabel gældende fra'!$D$7%)),0)</f>
        <v>478475</v>
      </c>
      <c r="G147" s="207">
        <v>441027</v>
      </c>
      <c r="H147" s="200">
        <f>ROUND((G147*(1+'Løntabel gældende fra'!$D$7%)),0)</f>
        <v>478475</v>
      </c>
      <c r="I147" s="208">
        <v>441027</v>
      </c>
      <c r="J147" s="209">
        <f>ROUND((I147*(1+'Løntabel gældende fra'!$D$7%)),0)</f>
        <v>478475</v>
      </c>
      <c r="K147" s="207">
        <v>441027</v>
      </c>
      <c r="L147" s="200">
        <f>ROUND((K147*(1+'Løntabel gældende fra'!$D$7%)),0)</f>
        <v>478475</v>
      </c>
      <c r="M147" s="435"/>
      <c r="N147" s="413">
        <v>441025.75</v>
      </c>
      <c r="O147" s="214">
        <f>ROUND(N147*(1+'Løntabel gældende fra'!$D$7%),2)</f>
        <v>478473.69</v>
      </c>
    </row>
    <row r="148" spans="1:15">
      <c r="A148" s="2069"/>
      <c r="B148" s="419" t="s">
        <v>240</v>
      </c>
      <c r="C148" s="422"/>
      <c r="D148" s="429">
        <f>ROUND(D147/12,2)</f>
        <v>39872.92</v>
      </c>
      <c r="E148" s="426">
        <f>E147/12</f>
        <v>36752.25</v>
      </c>
      <c r="F148" s="411">
        <f>ROUND(F147/12,2)</f>
        <v>39872.92</v>
      </c>
      <c r="G148" s="422">
        <f>G147/12</f>
        <v>36752.25</v>
      </c>
      <c r="H148" s="429">
        <f>ROUND(H147/12,2)</f>
        <v>39872.92</v>
      </c>
      <c r="I148" s="426">
        <f>I147/12</f>
        <v>36752.25</v>
      </c>
      <c r="J148" s="411">
        <f>ROUND(J147/12,2)</f>
        <v>39872.92</v>
      </c>
      <c r="K148" s="422">
        <f>K147/12</f>
        <v>36752.25</v>
      </c>
      <c r="L148" s="429">
        <f>ROUND(L147/12,2)</f>
        <v>39872.92</v>
      </c>
      <c r="M148" s="434"/>
      <c r="N148" s="412"/>
      <c r="O148" s="414">
        <f>ROUND(O147/12,2)</f>
        <v>39872.81</v>
      </c>
    </row>
    <row r="149" spans="1:15" ht="16" thickBot="1">
      <c r="A149" s="2070"/>
      <c r="B149" s="420" t="s">
        <v>233</v>
      </c>
      <c r="C149" s="204">
        <f>C147/12</f>
        <v>36752.25</v>
      </c>
      <c r="D149" s="205">
        <f>ROUND(D148/160.33,2)</f>
        <v>248.69</v>
      </c>
      <c r="E149" s="427"/>
      <c r="F149" s="205">
        <f t="shared" ref="F149:O149" si="48">ROUND(F148/160.33,2)</f>
        <v>248.69</v>
      </c>
      <c r="G149" s="205">
        <f t="shared" si="48"/>
        <v>229.23</v>
      </c>
      <c r="H149" s="205">
        <f t="shared" si="48"/>
        <v>248.69</v>
      </c>
      <c r="I149" s="205">
        <f t="shared" si="48"/>
        <v>229.23</v>
      </c>
      <c r="J149" s="205">
        <f t="shared" si="48"/>
        <v>248.69</v>
      </c>
      <c r="K149" s="205">
        <f t="shared" si="48"/>
        <v>229.23</v>
      </c>
      <c r="L149" s="205">
        <f t="shared" si="48"/>
        <v>248.69</v>
      </c>
      <c r="M149" s="205">
        <f t="shared" si="48"/>
        <v>0</v>
      </c>
      <c r="N149" s="205">
        <f t="shared" si="48"/>
        <v>0</v>
      </c>
      <c r="O149" s="205">
        <f t="shared" si="48"/>
        <v>248.69</v>
      </c>
    </row>
    <row r="150" spans="1:15">
      <c r="A150" s="2068">
        <v>49</v>
      </c>
      <c r="B150" s="210" t="s">
        <v>97</v>
      </c>
      <c r="C150" s="199">
        <v>471781</v>
      </c>
      <c r="D150" s="203">
        <f>ROUND((C150*(1+'Løntabel gældende fra'!$D$7%)),0)</f>
        <v>511840</v>
      </c>
      <c r="E150" s="201">
        <v>471781</v>
      </c>
      <c r="F150" s="202">
        <f>ROUND((E150*(1+'Løntabel gældende fra'!$D$7%)),0)</f>
        <v>511840</v>
      </c>
      <c r="G150" s="199">
        <v>471781</v>
      </c>
      <c r="H150" s="203">
        <f>ROUND((G150*(1+'Løntabel gældende fra'!$D$7%)),0)</f>
        <v>511840</v>
      </c>
      <c r="I150" s="201">
        <v>471781</v>
      </c>
      <c r="J150" s="202">
        <f>ROUND((I150*(1+'Løntabel gældende fra'!$D$7%)),0)</f>
        <v>511840</v>
      </c>
      <c r="K150" s="199">
        <v>471781</v>
      </c>
      <c r="L150" s="203">
        <f>ROUND((K150*(1+'Løntabel gældende fra'!$D$7%)),0)</f>
        <v>511840</v>
      </c>
      <c r="M150" s="436"/>
      <c r="N150" s="415">
        <v>471780.9</v>
      </c>
      <c r="O150" s="416">
        <f>ROUND(N150*(1+'Løntabel gældende fra'!$D$7%),2)</f>
        <v>511840.29</v>
      </c>
    </row>
    <row r="151" spans="1:15">
      <c r="A151" s="2069"/>
      <c r="B151" s="419" t="s">
        <v>240</v>
      </c>
      <c r="C151" s="422"/>
      <c r="D151" s="429">
        <f>ROUND(D150/12,2)</f>
        <v>42653.33</v>
      </c>
      <c r="E151" s="426">
        <f>E150/12</f>
        <v>39315.083333333336</v>
      </c>
      <c r="F151" s="411">
        <f>ROUND(F150/12,2)</f>
        <v>42653.33</v>
      </c>
      <c r="G151" s="422">
        <f>G150/12</f>
        <v>39315.083333333336</v>
      </c>
      <c r="H151" s="429">
        <f>ROUND(H150/12,2)</f>
        <v>42653.33</v>
      </c>
      <c r="I151" s="426">
        <f>I150/12</f>
        <v>39315.083333333336</v>
      </c>
      <c r="J151" s="411">
        <f>ROUND(J150/12,2)</f>
        <v>42653.33</v>
      </c>
      <c r="K151" s="422">
        <f>K150/12</f>
        <v>39315.083333333336</v>
      </c>
      <c r="L151" s="429">
        <f>ROUND(L150/12,2)</f>
        <v>42653.33</v>
      </c>
      <c r="M151" s="434"/>
      <c r="N151" s="412"/>
      <c r="O151" s="414">
        <f>ROUND(O150/12,2)</f>
        <v>42653.36</v>
      </c>
    </row>
    <row r="152" spans="1:15" ht="16" thickBot="1">
      <c r="A152" s="2072"/>
      <c r="B152" s="421" t="s">
        <v>233</v>
      </c>
      <c r="C152" s="425">
        <f>C150/12</f>
        <v>39315.083333333336</v>
      </c>
      <c r="D152" s="205">
        <f>ROUND(D151/160.33,2)</f>
        <v>266.02999999999997</v>
      </c>
      <c r="E152" s="428"/>
      <c r="F152" s="205">
        <f t="shared" ref="F152:O152" si="49">ROUND(F151/160.33,2)</f>
        <v>266.02999999999997</v>
      </c>
      <c r="G152" s="205">
        <f t="shared" si="49"/>
        <v>245.21</v>
      </c>
      <c r="H152" s="205">
        <f t="shared" si="49"/>
        <v>266.02999999999997</v>
      </c>
      <c r="I152" s="205">
        <f t="shared" si="49"/>
        <v>245.21</v>
      </c>
      <c r="J152" s="205">
        <f t="shared" si="49"/>
        <v>266.02999999999997</v>
      </c>
      <c r="K152" s="205">
        <f t="shared" si="49"/>
        <v>245.21</v>
      </c>
      <c r="L152" s="205">
        <f t="shared" si="49"/>
        <v>266.02999999999997</v>
      </c>
      <c r="M152" s="205">
        <f t="shared" si="49"/>
        <v>0</v>
      </c>
      <c r="N152" s="205">
        <f t="shared" si="49"/>
        <v>0</v>
      </c>
      <c r="O152" s="205">
        <f t="shared" si="49"/>
        <v>266.02999999999997</v>
      </c>
    </row>
    <row r="153" spans="1:15">
      <c r="A153" s="2071">
        <v>50</v>
      </c>
      <c r="B153" s="211" t="s">
        <v>97</v>
      </c>
      <c r="C153" s="207">
        <v>521094</v>
      </c>
      <c r="D153" s="200">
        <f>ROUND((C153*(1+'Løntabel gældende fra'!$D$7%)),0)</f>
        <v>565341</v>
      </c>
      <c r="E153" s="208">
        <v>521094</v>
      </c>
      <c r="F153" s="209">
        <f>ROUND((E153*(1+'Løntabel gældende fra'!$D$7%)),0)</f>
        <v>565341</v>
      </c>
      <c r="G153" s="431">
        <v>521094</v>
      </c>
      <c r="H153" s="200">
        <f>ROUND((G153*(1+'Løntabel gældende fra'!$D$7%)),0)</f>
        <v>565341</v>
      </c>
      <c r="I153" s="432">
        <v>521094</v>
      </c>
      <c r="J153" s="209">
        <f>ROUND((I153*(1+'Løntabel gældende fra'!$D$7%)),0)</f>
        <v>565341</v>
      </c>
      <c r="K153" s="431">
        <v>521094</v>
      </c>
      <c r="L153" s="200">
        <f>ROUND((K153*(1+'Løntabel gældende fra'!$D$7%)),0)</f>
        <v>565341</v>
      </c>
      <c r="M153" s="435"/>
      <c r="N153" s="413">
        <v>521094.47</v>
      </c>
      <c r="O153" s="214">
        <f>ROUND(N153*(1+'Løntabel gældende fra'!$D$7%),2)</f>
        <v>565341.12</v>
      </c>
    </row>
    <row r="154" spans="1:15">
      <c r="A154" s="2069"/>
      <c r="B154" s="419" t="s">
        <v>240</v>
      </c>
      <c r="C154" s="422"/>
      <c r="D154" s="429">
        <f>ROUND(D153/12,2)</f>
        <v>47111.75</v>
      </c>
      <c r="E154" s="426">
        <f>E153/12</f>
        <v>43424.5</v>
      </c>
      <c r="F154" s="411">
        <f>ROUND(F153/12,2)</f>
        <v>47111.75</v>
      </c>
      <c r="G154" s="422">
        <f>G153/12</f>
        <v>43424.5</v>
      </c>
      <c r="H154" s="429">
        <f>ROUND(H153/12,2)</f>
        <v>47111.75</v>
      </c>
      <c r="I154" s="426">
        <f>I153/12</f>
        <v>43424.5</v>
      </c>
      <c r="J154" s="411">
        <f>ROUND(J153/12,2)</f>
        <v>47111.75</v>
      </c>
      <c r="K154" s="422">
        <f>K153/12</f>
        <v>43424.5</v>
      </c>
      <c r="L154" s="429">
        <f>ROUND(L153/12,2)</f>
        <v>47111.75</v>
      </c>
      <c r="M154" s="434"/>
      <c r="N154" s="412"/>
      <c r="O154" s="414">
        <f>ROUND(O153/12,2)</f>
        <v>47111.76</v>
      </c>
    </row>
    <row r="155" spans="1:15" ht="16" thickBot="1">
      <c r="A155" s="2070"/>
      <c r="B155" s="420" t="s">
        <v>233</v>
      </c>
      <c r="C155" s="204">
        <f>C153/12</f>
        <v>43424.5</v>
      </c>
      <c r="D155" s="205">
        <f>ROUND(D154/160.33,2)</f>
        <v>293.83999999999997</v>
      </c>
      <c r="E155" s="427"/>
      <c r="F155" s="205">
        <f t="shared" ref="F155:O155" si="50">ROUND(F154/160.33,2)</f>
        <v>293.83999999999997</v>
      </c>
      <c r="G155" s="205">
        <f t="shared" si="50"/>
        <v>270.83999999999997</v>
      </c>
      <c r="H155" s="205">
        <f t="shared" si="50"/>
        <v>293.83999999999997</v>
      </c>
      <c r="I155" s="205">
        <f t="shared" si="50"/>
        <v>270.83999999999997</v>
      </c>
      <c r="J155" s="205">
        <f t="shared" si="50"/>
        <v>293.83999999999997</v>
      </c>
      <c r="K155" s="205">
        <f t="shared" si="50"/>
        <v>270.83999999999997</v>
      </c>
      <c r="L155" s="205">
        <f t="shared" si="50"/>
        <v>293.83999999999997</v>
      </c>
      <c r="M155" s="205">
        <f t="shared" si="50"/>
        <v>0</v>
      </c>
      <c r="N155" s="205">
        <f t="shared" si="50"/>
        <v>0</v>
      </c>
      <c r="O155" s="205">
        <f t="shared" si="50"/>
        <v>293.83999999999997</v>
      </c>
    </row>
    <row r="156" spans="1:15">
      <c r="A156" s="2068">
        <v>51</v>
      </c>
      <c r="B156" s="210" t="s">
        <v>97</v>
      </c>
      <c r="C156" s="199">
        <v>592911</v>
      </c>
      <c r="D156" s="203">
        <f>ROUND((C156*(1+'Løntabel gældende fra'!$D$7%)),0)</f>
        <v>643256</v>
      </c>
      <c r="E156" s="201">
        <v>592911</v>
      </c>
      <c r="F156" s="202">
        <f>ROUND((E156*(1+'Løntabel gældende fra'!$D$7%)),0)</f>
        <v>643256</v>
      </c>
      <c r="G156" s="212">
        <v>592911</v>
      </c>
      <c r="H156" s="203">
        <f>ROUND((G156*(1+'Løntabel gældende fra'!$D$7%)),0)</f>
        <v>643256</v>
      </c>
      <c r="I156" s="213">
        <v>592911</v>
      </c>
      <c r="J156" s="202">
        <f>ROUND((I156*(1+'Løntabel gældende fra'!$D$7%)),0)</f>
        <v>643256</v>
      </c>
      <c r="K156" s="212">
        <v>592911</v>
      </c>
      <c r="L156" s="203">
        <f>ROUND((K156*(1+'Løntabel gældende fra'!$D$7%)),0)</f>
        <v>643256</v>
      </c>
      <c r="M156" s="436"/>
      <c r="N156" s="415">
        <v>592911.94999999995</v>
      </c>
      <c r="O156" s="416">
        <f>ROUND(N156*(1+'Løntabel gældende fra'!$D$7%),2)</f>
        <v>643256.69999999995</v>
      </c>
    </row>
    <row r="157" spans="1:15">
      <c r="A157" s="2069"/>
      <c r="B157" s="419" t="s">
        <v>98</v>
      </c>
      <c r="C157" s="422"/>
      <c r="D157" s="429">
        <f>ROUND(D156/12,2)</f>
        <v>53604.67</v>
      </c>
      <c r="E157" s="426">
        <f>E156/12</f>
        <v>49409.25</v>
      </c>
      <c r="F157" s="411">
        <f>ROUND(F156/12,2)</f>
        <v>53604.67</v>
      </c>
      <c r="G157" s="422">
        <f>G156/12</f>
        <v>49409.25</v>
      </c>
      <c r="H157" s="429">
        <f>ROUND(H156/12,2)</f>
        <v>53604.67</v>
      </c>
      <c r="I157" s="426">
        <f>I156/12</f>
        <v>49409.25</v>
      </c>
      <c r="J157" s="411">
        <f>ROUND(J156/12,2)</f>
        <v>53604.67</v>
      </c>
      <c r="K157" s="422">
        <f>K156/12</f>
        <v>49409.25</v>
      </c>
      <c r="L157" s="429">
        <f>ROUND(L156/12,2)</f>
        <v>53604.67</v>
      </c>
      <c r="M157" s="434"/>
      <c r="N157" s="412"/>
      <c r="O157" s="414">
        <f>ROUND(O156/12,2)</f>
        <v>53604.73</v>
      </c>
    </row>
    <row r="158" spans="1:15" ht="16" thickBot="1">
      <c r="A158" s="2070"/>
      <c r="B158" s="420" t="s">
        <v>233</v>
      </c>
      <c r="C158" s="204">
        <f>C156/12</f>
        <v>49409.25</v>
      </c>
      <c r="D158" s="205">
        <f>ROUND(D157/160.33,2)</f>
        <v>334.34</v>
      </c>
      <c r="E158" s="427"/>
      <c r="F158" s="205">
        <f t="shared" ref="F158:O158" si="51">ROUND(F157/160.33,2)</f>
        <v>334.34</v>
      </c>
      <c r="G158" s="205">
        <f t="shared" si="51"/>
        <v>308.17</v>
      </c>
      <c r="H158" s="205">
        <f t="shared" si="51"/>
        <v>334.34</v>
      </c>
      <c r="I158" s="205">
        <f t="shared" si="51"/>
        <v>308.17</v>
      </c>
      <c r="J158" s="205">
        <f t="shared" si="51"/>
        <v>334.34</v>
      </c>
      <c r="K158" s="205">
        <f t="shared" si="51"/>
        <v>308.17</v>
      </c>
      <c r="L158" s="205">
        <f t="shared" si="51"/>
        <v>334.34</v>
      </c>
      <c r="M158" s="205">
        <f t="shared" si="51"/>
        <v>0</v>
      </c>
      <c r="N158" s="205">
        <f t="shared" si="51"/>
        <v>0</v>
      </c>
      <c r="O158" s="205">
        <f t="shared" si="51"/>
        <v>334.34</v>
      </c>
    </row>
  </sheetData>
  <sheetProtection sheet="1" objects="1" scenarios="1"/>
  <mergeCells count="54">
    <mergeCell ref="A129:A131"/>
    <mergeCell ref="A132:A134"/>
    <mergeCell ref="A150:A152"/>
    <mergeCell ref="A153:A155"/>
    <mergeCell ref="A135:A137"/>
    <mergeCell ref="A138:A140"/>
    <mergeCell ref="A141:A143"/>
    <mergeCell ref="A144:A146"/>
    <mergeCell ref="A147:A149"/>
    <mergeCell ref="A114:A116"/>
    <mergeCell ref="A117:A119"/>
    <mergeCell ref="A120:A122"/>
    <mergeCell ref="A123:A125"/>
    <mergeCell ref="A126:A128"/>
    <mergeCell ref="A99:A101"/>
    <mergeCell ref="A102:A104"/>
    <mergeCell ref="A105:A107"/>
    <mergeCell ref="A108:A110"/>
    <mergeCell ref="A111:A113"/>
    <mergeCell ref="A84:A86"/>
    <mergeCell ref="A87:A89"/>
    <mergeCell ref="A90:A92"/>
    <mergeCell ref="A93:A95"/>
    <mergeCell ref="A96:A98"/>
    <mergeCell ref="A1:O1"/>
    <mergeCell ref="A2:O2"/>
    <mergeCell ref="A75:A77"/>
    <mergeCell ref="A78:A80"/>
    <mergeCell ref="A6:A8"/>
    <mergeCell ref="A3:O4"/>
    <mergeCell ref="A21:A23"/>
    <mergeCell ref="A24:A26"/>
    <mergeCell ref="A27:A29"/>
    <mergeCell ref="A9:A11"/>
    <mergeCell ref="A12:A14"/>
    <mergeCell ref="A15:A17"/>
    <mergeCell ref="A18:A20"/>
    <mergeCell ref="A72:A74"/>
    <mergeCell ref="A156:A158"/>
    <mergeCell ref="A30:A32"/>
    <mergeCell ref="A33:A35"/>
    <mergeCell ref="A36:A38"/>
    <mergeCell ref="A39:A41"/>
    <mergeCell ref="A42:A44"/>
    <mergeCell ref="A45:A47"/>
    <mergeCell ref="A48:A50"/>
    <mergeCell ref="A51:A53"/>
    <mergeCell ref="A54:A56"/>
    <mergeCell ref="A57:A59"/>
    <mergeCell ref="A60:A62"/>
    <mergeCell ref="A63:A65"/>
    <mergeCell ref="A66:A68"/>
    <mergeCell ref="A69:A71"/>
    <mergeCell ref="A81:A83"/>
  </mergeCells>
  <phoneticPr fontId="6" type="noConversion"/>
  <pageMargins left="0.47244094488188981" right="0.47244094488188981" top="0.74803149606299213" bottom="0.74803149606299213" header="0.31496062992125984" footer="0.31496062992125984"/>
  <pageSetup paperSize="9" scale="85" fitToHeight="4" orientation="portrait" r:id="rId1"/>
  <headerFooter>
    <oddFooter>&amp;C&amp;"Times New Roman,Normal"&amp;8&amp;K000000Statens takster&amp;R&amp;"Times New Roman,Normal"&amp;8&amp;K000000Side &amp;P af i alt &amp;N</oddFooter>
  </headerFooter>
  <rowBreaks count="1" manualBreakCount="1">
    <brk id="101"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L21"/>
  <sheetViews>
    <sheetView view="pageBreakPreview" zoomScale="125" zoomScaleNormal="125" zoomScalePageLayoutView="125" workbookViewId="0">
      <selection activeCell="D5" sqref="D5"/>
    </sheetView>
  </sheetViews>
  <sheetFormatPr baseColWidth="10" defaultColWidth="11.33203125" defaultRowHeight="15"/>
  <cols>
    <col min="2" max="2" width="11.1640625" customWidth="1"/>
    <col min="3" max="3" width="15.33203125" customWidth="1"/>
    <col min="4" max="4" width="11.33203125" customWidth="1"/>
    <col min="6" max="6" width="20" customWidth="1"/>
    <col min="7" max="7" width="16.33203125" customWidth="1"/>
    <col min="8" max="8" width="8.1640625" customWidth="1"/>
  </cols>
  <sheetData>
    <row r="1" spans="1:9">
      <c r="A1" t="s">
        <v>31</v>
      </c>
      <c r="C1" s="5"/>
      <c r="D1" s="690" t="s">
        <v>499</v>
      </c>
    </row>
    <row r="3" spans="1:9" ht="20">
      <c r="A3" s="19" t="s">
        <v>25</v>
      </c>
      <c r="B3" s="20"/>
      <c r="C3" s="20"/>
      <c r="D3" s="20"/>
      <c r="E3" s="20"/>
      <c r="F3" s="20"/>
      <c r="G3" s="20"/>
    </row>
    <row r="4" spans="1:9">
      <c r="A4" s="20"/>
      <c r="B4" s="20"/>
      <c r="C4" s="20"/>
      <c r="D4" s="20"/>
      <c r="E4" s="20"/>
      <c r="F4" s="20"/>
      <c r="G4" s="20"/>
      <c r="H4" s="2"/>
      <c r="I4" s="2"/>
    </row>
    <row r="5" spans="1:9" ht="18">
      <c r="A5" s="17" t="s">
        <v>26</v>
      </c>
      <c r="B5" s="20"/>
      <c r="C5" s="20"/>
      <c r="D5" s="20"/>
      <c r="E5" s="20"/>
      <c r="F5" s="20"/>
      <c r="G5" s="20"/>
      <c r="H5" s="2"/>
      <c r="I5" s="2"/>
    </row>
    <row r="6" spans="1:9">
      <c r="A6" s="20"/>
      <c r="B6" s="20"/>
      <c r="C6" s="20"/>
      <c r="D6" s="20"/>
      <c r="E6" s="20"/>
      <c r="F6" s="20"/>
      <c r="G6" s="20"/>
      <c r="H6" s="2"/>
      <c r="I6" s="2"/>
    </row>
    <row r="7" spans="1:9" ht="16">
      <c r="A7" s="2085" t="s">
        <v>29</v>
      </c>
      <c r="B7" s="2085"/>
      <c r="C7" s="678">
        <v>43556</v>
      </c>
      <c r="D7" s="30">
        <v>8.4910999999999994</v>
      </c>
      <c r="E7" s="29" t="s">
        <v>33</v>
      </c>
      <c r="F7" s="29"/>
      <c r="G7" s="144" t="s">
        <v>500</v>
      </c>
      <c r="H7" s="2"/>
      <c r="I7" s="2"/>
    </row>
    <row r="8" spans="1:9">
      <c r="A8" s="20"/>
      <c r="B8" s="20"/>
      <c r="C8" s="20"/>
      <c r="D8" s="20"/>
      <c r="E8" s="20"/>
      <c r="F8" s="20"/>
      <c r="G8" s="20"/>
      <c r="H8" s="2"/>
      <c r="I8" s="2"/>
    </row>
    <row r="9" spans="1:9" ht="16" thickBot="1">
      <c r="A9" s="21" t="s">
        <v>30</v>
      </c>
      <c r="B9" s="20"/>
      <c r="C9" s="20"/>
      <c r="D9" s="20"/>
      <c r="E9" s="20"/>
      <c r="F9" s="20"/>
      <c r="G9" s="20"/>
      <c r="H9" s="2"/>
      <c r="I9" s="2"/>
    </row>
    <row r="10" spans="1:9">
      <c r="A10" s="22" t="s">
        <v>27</v>
      </c>
      <c r="B10" s="23" t="s">
        <v>28</v>
      </c>
      <c r="C10" s="2086" t="s">
        <v>32</v>
      </c>
      <c r="D10" s="2087"/>
      <c r="E10" s="2087"/>
      <c r="F10" s="2087"/>
      <c r="G10" s="2087"/>
      <c r="H10" s="2"/>
      <c r="I10" s="2"/>
    </row>
    <row r="11" spans="1:9">
      <c r="A11" s="224">
        <v>40999</v>
      </c>
      <c r="B11" s="31">
        <v>1</v>
      </c>
      <c r="C11" s="2086"/>
      <c r="D11" s="2087"/>
      <c r="E11" s="2087"/>
      <c r="F11" s="2087"/>
      <c r="G11" s="2087"/>
      <c r="H11" s="2"/>
      <c r="I11" s="2"/>
    </row>
    <row r="12" spans="1:9">
      <c r="A12" s="96">
        <v>41000</v>
      </c>
      <c r="B12" s="31">
        <v>1.304</v>
      </c>
      <c r="C12" s="20"/>
      <c r="D12" s="20"/>
      <c r="E12" s="20"/>
      <c r="F12" s="20"/>
      <c r="G12" s="20"/>
      <c r="H12" s="2"/>
      <c r="I12" s="2"/>
    </row>
    <row r="13" spans="1:9">
      <c r="A13" s="96">
        <v>41365</v>
      </c>
      <c r="B13" s="31">
        <v>1.304</v>
      </c>
      <c r="C13" s="20"/>
      <c r="D13" s="20"/>
      <c r="E13" s="24"/>
      <c r="F13" s="20"/>
      <c r="G13" s="20"/>
      <c r="H13" s="2"/>
      <c r="I13" s="2"/>
    </row>
    <row r="14" spans="1:9">
      <c r="A14" s="225">
        <v>41730</v>
      </c>
      <c r="B14" s="18">
        <v>1.7161999999999999</v>
      </c>
      <c r="C14" s="20"/>
      <c r="D14" s="20"/>
      <c r="E14" s="20"/>
      <c r="F14" s="20"/>
      <c r="G14" s="20"/>
      <c r="H14" s="2"/>
      <c r="I14" s="2"/>
    </row>
    <row r="15" spans="1:9">
      <c r="A15" s="225">
        <v>42095</v>
      </c>
      <c r="B15" s="18">
        <v>2.1745000000000001</v>
      </c>
      <c r="C15" s="20"/>
      <c r="D15" s="20"/>
      <c r="E15" s="20"/>
      <c r="F15" s="20"/>
      <c r="G15" s="20"/>
      <c r="H15" s="2"/>
      <c r="I15" s="2"/>
    </row>
    <row r="16" spans="1:9">
      <c r="A16" s="225">
        <v>42461</v>
      </c>
      <c r="B16" s="18">
        <v>2.9882</v>
      </c>
      <c r="C16" s="20"/>
      <c r="D16" s="20"/>
      <c r="E16" s="20"/>
      <c r="F16" s="20"/>
      <c r="G16" s="20"/>
      <c r="H16" s="2"/>
      <c r="I16" s="2"/>
    </row>
    <row r="17" spans="1:12">
      <c r="A17" s="225">
        <v>42826</v>
      </c>
      <c r="B17" s="18">
        <v>4.2446000000000002</v>
      </c>
      <c r="C17" s="20"/>
      <c r="D17" s="20"/>
      <c r="E17" s="20"/>
      <c r="F17" s="20"/>
      <c r="G17" s="20"/>
      <c r="H17" s="2"/>
      <c r="I17" s="2"/>
      <c r="L17" s="13"/>
    </row>
    <row r="18" spans="1:12">
      <c r="A18" s="225">
        <v>43070</v>
      </c>
      <c r="B18" s="18">
        <v>5.7702999999999998</v>
      </c>
      <c r="C18" s="20"/>
      <c r="D18" s="20"/>
      <c r="E18" s="20"/>
      <c r="F18" s="29"/>
      <c r="G18" s="20"/>
      <c r="H18" s="2"/>
      <c r="I18" s="2"/>
    </row>
    <row r="19" spans="1:12">
      <c r="A19" s="850">
        <v>43191</v>
      </c>
      <c r="B19" s="851">
        <v>6.9683000000000002</v>
      </c>
      <c r="C19" s="20"/>
      <c r="D19" s="20"/>
      <c r="E19" s="20"/>
      <c r="F19" s="20"/>
      <c r="G19" s="20"/>
      <c r="H19" s="2"/>
      <c r="I19" s="2"/>
    </row>
    <row r="20" spans="1:12">
      <c r="A20" s="850">
        <v>43373</v>
      </c>
      <c r="B20" s="851">
        <v>7.4972000000000003</v>
      </c>
      <c r="C20" s="20"/>
      <c r="D20" s="20"/>
      <c r="E20" s="20"/>
      <c r="F20" s="20"/>
      <c r="G20" s="20"/>
      <c r="H20" s="2"/>
      <c r="I20" s="2"/>
    </row>
    <row r="21" spans="1:12" ht="16" thickBot="1">
      <c r="A21" s="893">
        <v>43556</v>
      </c>
      <c r="B21" s="894">
        <v>8.4910999999999994</v>
      </c>
      <c r="C21" s="20"/>
      <c r="D21" s="20"/>
      <c r="E21" s="20"/>
      <c r="F21" s="20"/>
      <c r="G21" s="20"/>
      <c r="H21" s="2"/>
      <c r="I21" s="2"/>
    </row>
  </sheetData>
  <mergeCells count="2">
    <mergeCell ref="A7:B7"/>
    <mergeCell ref="C10:G11"/>
  </mergeCells>
  <phoneticPr fontId="6" type="noConversion"/>
  <pageMargins left="0.75000000000000011" right="0.75000000000000011" top="0.98" bottom="0.98" header="0.51" footer="0.51"/>
  <pageSetup paperSize="9" scale="83" orientation="portrait" r:id="rId1"/>
  <headerFooter>
    <oddFooter>&amp;C&amp;"Calibri,Normal"&amp;K000000Løntabel gældende fra &amp;R&amp;"Calibri,Normal"&amp;K000000Side &amp;P af i alt &amp;N sider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7"/>
  <sheetViews>
    <sheetView workbookViewId="0">
      <selection activeCell="B26" sqref="B26:I27"/>
    </sheetView>
  </sheetViews>
  <sheetFormatPr baseColWidth="10" defaultColWidth="11.33203125" defaultRowHeight="15"/>
  <cols>
    <col min="1" max="1" width="11.33203125" customWidth="1"/>
    <col min="2" max="2" width="60.1640625" customWidth="1"/>
    <col min="3" max="3" width="12.33203125" customWidth="1"/>
    <col min="4" max="4" width="12.6640625" customWidth="1"/>
    <col min="5" max="6" width="13" customWidth="1"/>
    <col min="7" max="7" width="14.83203125" customWidth="1"/>
    <col min="9" max="9" width="9.33203125" customWidth="1"/>
  </cols>
  <sheetData>
    <row r="1" spans="1:9">
      <c r="A1" s="1088" t="s">
        <v>297</v>
      </c>
      <c r="B1" s="1094" t="s">
        <v>288</v>
      </c>
      <c r="C1" s="1094"/>
      <c r="D1" s="1094"/>
      <c r="E1" s="1094"/>
      <c r="F1" s="1094"/>
      <c r="G1" s="1094"/>
      <c r="H1" s="1094"/>
      <c r="I1" s="1095"/>
    </row>
    <row r="2" spans="1:9" ht="16" thickBot="1">
      <c r="A2" s="1089"/>
      <c r="B2" s="1096"/>
      <c r="C2" s="1096"/>
      <c r="D2" s="1096"/>
      <c r="E2" s="1096"/>
      <c r="F2" s="1096"/>
      <c r="G2" s="1096"/>
      <c r="H2" s="1096"/>
      <c r="I2" s="1097"/>
    </row>
    <row r="3" spans="1:9" ht="42" customHeight="1" thickBot="1">
      <c r="A3" s="1089"/>
      <c r="B3" s="1080" t="s">
        <v>300</v>
      </c>
      <c r="C3" s="1081"/>
      <c r="D3" s="1081"/>
      <c r="E3" s="1081"/>
      <c r="F3" s="1081"/>
      <c r="G3" s="1081"/>
      <c r="H3" s="1081"/>
      <c r="I3" s="1082"/>
    </row>
    <row r="4" spans="1:9" ht="15" customHeight="1">
      <c r="A4" s="1089"/>
      <c r="B4" s="540" t="s">
        <v>286</v>
      </c>
      <c r="C4" s="570" t="s">
        <v>271</v>
      </c>
      <c r="D4" s="571" t="s">
        <v>272</v>
      </c>
      <c r="E4" s="571" t="s">
        <v>273</v>
      </c>
      <c r="F4" s="570" t="s">
        <v>274</v>
      </c>
      <c r="G4" s="1109" t="s">
        <v>304</v>
      </c>
      <c r="H4" s="1109" t="s">
        <v>306</v>
      </c>
      <c r="I4" s="1111" t="s">
        <v>279</v>
      </c>
    </row>
    <row r="5" spans="1:9" ht="31" thickBot="1">
      <c r="A5" s="1089"/>
      <c r="B5" s="541" t="s">
        <v>285</v>
      </c>
      <c r="C5" s="572" t="s">
        <v>291</v>
      </c>
      <c r="D5" s="572" t="s">
        <v>292</v>
      </c>
      <c r="E5" s="572" t="s">
        <v>293</v>
      </c>
      <c r="F5" s="572" t="s">
        <v>294</v>
      </c>
      <c r="G5" s="1110"/>
      <c r="H5" s="1110"/>
      <c r="I5" s="1112"/>
    </row>
    <row r="6" spans="1:9">
      <c r="A6" s="1089"/>
      <c r="B6" s="556" t="s">
        <v>275</v>
      </c>
      <c r="C6" s="564" t="s">
        <v>276</v>
      </c>
      <c r="D6" s="564" t="s">
        <v>276</v>
      </c>
      <c r="E6" s="564" t="s">
        <v>276</v>
      </c>
      <c r="F6" s="564" t="s">
        <v>276</v>
      </c>
      <c r="G6" s="535" t="s">
        <v>281</v>
      </c>
      <c r="H6" s="535" t="s">
        <v>281</v>
      </c>
      <c r="I6" s="536" t="s">
        <v>281</v>
      </c>
    </row>
    <row r="7" spans="1:9">
      <c r="A7" s="1089"/>
      <c r="B7" s="557" t="s">
        <v>299</v>
      </c>
      <c r="C7" s="562" t="s">
        <v>276</v>
      </c>
      <c r="D7" s="562" t="s">
        <v>276</v>
      </c>
      <c r="E7" s="562" t="s">
        <v>276</v>
      </c>
      <c r="F7" s="562" t="s">
        <v>276</v>
      </c>
      <c r="G7" s="562" t="s">
        <v>282</v>
      </c>
      <c r="H7" s="534" t="s">
        <v>281</v>
      </c>
      <c r="I7" s="537" t="s">
        <v>282</v>
      </c>
    </row>
    <row r="8" spans="1:9">
      <c r="A8" s="1089"/>
      <c r="B8" s="557" t="s">
        <v>13</v>
      </c>
      <c r="C8" s="562" t="s">
        <v>276</v>
      </c>
      <c r="D8" s="562" t="s">
        <v>276</v>
      </c>
      <c r="E8" s="562" t="s">
        <v>276</v>
      </c>
      <c r="F8" s="562" t="s">
        <v>276</v>
      </c>
      <c r="G8" s="562" t="s">
        <v>281</v>
      </c>
      <c r="H8" s="562" t="s">
        <v>282</v>
      </c>
      <c r="I8" s="537" t="s">
        <v>281</v>
      </c>
    </row>
    <row r="9" spans="1:9">
      <c r="A9" s="1089"/>
      <c r="B9" s="557" t="s">
        <v>277</v>
      </c>
      <c r="C9" s="562" t="s">
        <v>276</v>
      </c>
      <c r="D9" s="562" t="s">
        <v>276</v>
      </c>
      <c r="E9" s="562" t="s">
        <v>276</v>
      </c>
      <c r="F9" s="562"/>
      <c r="G9" s="562" t="s">
        <v>282</v>
      </c>
      <c r="H9" s="562" t="s">
        <v>281</v>
      </c>
      <c r="I9" s="537" t="s">
        <v>281</v>
      </c>
    </row>
    <row r="10" spans="1:9">
      <c r="A10" s="1089"/>
      <c r="B10" s="557" t="s">
        <v>278</v>
      </c>
      <c r="C10" s="562" t="s">
        <v>276</v>
      </c>
      <c r="D10" s="562" t="s">
        <v>276</v>
      </c>
      <c r="E10" s="562" t="s">
        <v>276</v>
      </c>
      <c r="F10" s="562" t="s">
        <v>276</v>
      </c>
      <c r="G10" s="562" t="s">
        <v>281</v>
      </c>
      <c r="H10" s="562" t="s">
        <v>281</v>
      </c>
      <c r="I10" s="537" t="s">
        <v>281</v>
      </c>
    </row>
    <row r="11" spans="1:9">
      <c r="A11" s="1089"/>
      <c r="B11" s="557" t="s">
        <v>472</v>
      </c>
      <c r="C11" s="846" t="s">
        <v>276</v>
      </c>
      <c r="D11" s="846" t="s">
        <v>276</v>
      </c>
      <c r="E11" s="846" t="s">
        <v>276</v>
      </c>
      <c r="F11" s="846" t="s">
        <v>276</v>
      </c>
      <c r="G11" s="847" t="s">
        <v>281</v>
      </c>
      <c r="H11" s="847" t="s">
        <v>281</v>
      </c>
      <c r="I11" s="848" t="s">
        <v>281</v>
      </c>
    </row>
    <row r="12" spans="1:9">
      <c r="A12" s="1089"/>
      <c r="B12" s="1113" t="s">
        <v>313</v>
      </c>
      <c r="C12" s="1108"/>
      <c r="D12" s="1108"/>
      <c r="E12" s="1108"/>
      <c r="F12" s="1108" t="s">
        <v>284</v>
      </c>
      <c r="G12" s="1100" t="s">
        <v>281</v>
      </c>
      <c r="H12" s="1100" t="s">
        <v>281</v>
      </c>
      <c r="I12" s="1102" t="s">
        <v>281</v>
      </c>
    </row>
    <row r="13" spans="1:9">
      <c r="A13" s="1089"/>
      <c r="B13" s="1113"/>
      <c r="C13" s="1108"/>
      <c r="D13" s="1108"/>
      <c r="E13" s="1108"/>
      <c r="F13" s="1108"/>
      <c r="G13" s="1101"/>
      <c r="H13" s="1101"/>
      <c r="I13" s="1103"/>
    </row>
    <row r="14" spans="1:9" ht="32">
      <c r="A14" s="1089"/>
      <c r="B14" s="561" t="s">
        <v>318</v>
      </c>
      <c r="C14" s="562" t="s">
        <v>284</v>
      </c>
      <c r="D14" s="562" t="s">
        <v>284</v>
      </c>
      <c r="E14" s="562" t="s">
        <v>284</v>
      </c>
      <c r="F14" s="562" t="s">
        <v>284</v>
      </c>
      <c r="G14" s="564" t="s">
        <v>281</v>
      </c>
      <c r="H14" s="564" t="s">
        <v>281</v>
      </c>
      <c r="I14" s="565" t="s">
        <v>281</v>
      </c>
    </row>
    <row r="15" spans="1:9">
      <c r="A15" s="1089"/>
      <c r="B15" s="557" t="s">
        <v>287</v>
      </c>
      <c r="C15" s="562" t="s">
        <v>276</v>
      </c>
      <c r="D15" s="562" t="s">
        <v>276</v>
      </c>
      <c r="E15" s="562" t="s">
        <v>276</v>
      </c>
      <c r="F15" s="562" t="s">
        <v>276</v>
      </c>
      <c r="G15" s="562" t="s">
        <v>281</v>
      </c>
      <c r="H15" s="562" t="s">
        <v>282</v>
      </c>
      <c r="I15" s="537" t="s">
        <v>281</v>
      </c>
    </row>
    <row r="16" spans="1:9">
      <c r="A16" s="1089"/>
      <c r="B16" s="1106" t="s">
        <v>381</v>
      </c>
      <c r="C16" s="1107" t="s">
        <v>276</v>
      </c>
      <c r="D16" s="1108" t="s">
        <v>276</v>
      </c>
      <c r="E16" s="1108" t="s">
        <v>276</v>
      </c>
      <c r="F16" s="1107" t="s">
        <v>276</v>
      </c>
      <c r="G16" s="1100" t="s">
        <v>282</v>
      </c>
      <c r="H16" s="1100" t="s">
        <v>282</v>
      </c>
      <c r="I16" s="1102" t="s">
        <v>281</v>
      </c>
    </row>
    <row r="17" spans="1:9" ht="1" customHeight="1">
      <c r="A17" s="1089"/>
      <c r="B17" s="1106"/>
      <c r="C17" s="1107"/>
      <c r="D17" s="1108"/>
      <c r="E17" s="1108"/>
      <c r="F17" s="1107"/>
      <c r="G17" s="1101"/>
      <c r="H17" s="1101"/>
      <c r="I17" s="1103"/>
    </row>
    <row r="18" spans="1:9" ht="45">
      <c r="A18" s="1089"/>
      <c r="B18" s="557" t="s">
        <v>301</v>
      </c>
      <c r="C18" s="562" t="s">
        <v>276</v>
      </c>
      <c r="D18" s="562" t="s">
        <v>276</v>
      </c>
      <c r="E18" s="562" t="s">
        <v>276</v>
      </c>
      <c r="F18" s="562" t="s">
        <v>276</v>
      </c>
      <c r="G18" s="709" t="s">
        <v>378</v>
      </c>
      <c r="H18" s="562" t="s">
        <v>282</v>
      </c>
      <c r="I18" s="537" t="s">
        <v>281</v>
      </c>
    </row>
    <row r="19" spans="1:9">
      <c r="A19" s="1089"/>
      <c r="B19" s="557" t="s">
        <v>68</v>
      </c>
      <c r="C19" s="562" t="s">
        <v>276</v>
      </c>
      <c r="D19" s="562" t="s">
        <v>276</v>
      </c>
      <c r="E19" s="562" t="s">
        <v>276</v>
      </c>
      <c r="F19" s="562" t="s">
        <v>276</v>
      </c>
      <c r="G19" s="562" t="s">
        <v>282</v>
      </c>
      <c r="H19" s="563" t="s">
        <v>282</v>
      </c>
      <c r="I19" s="537" t="s">
        <v>282</v>
      </c>
    </row>
    <row r="20" spans="1:9">
      <c r="A20" s="1089"/>
      <c r="B20" s="557" t="s">
        <v>283</v>
      </c>
      <c r="C20" s="562" t="s">
        <v>276</v>
      </c>
      <c r="D20" s="562" t="s">
        <v>276</v>
      </c>
      <c r="E20" s="562" t="s">
        <v>276</v>
      </c>
      <c r="F20" s="562" t="s">
        <v>276</v>
      </c>
      <c r="G20" s="562" t="s">
        <v>281</v>
      </c>
      <c r="H20" s="1104" t="s">
        <v>305</v>
      </c>
      <c r="I20" s="537" t="s">
        <v>281</v>
      </c>
    </row>
    <row r="21" spans="1:9" ht="16" thickBot="1">
      <c r="A21" s="1089"/>
      <c r="B21" s="558" t="s">
        <v>280</v>
      </c>
      <c r="C21" s="538" t="s">
        <v>276</v>
      </c>
      <c r="D21" s="538" t="s">
        <v>276</v>
      </c>
      <c r="E21" s="538" t="s">
        <v>276</v>
      </c>
      <c r="F21" s="538" t="s">
        <v>276</v>
      </c>
      <c r="G21" s="538" t="s">
        <v>281</v>
      </c>
      <c r="H21" s="1105"/>
      <c r="I21" s="539" t="s">
        <v>281</v>
      </c>
    </row>
    <row r="22" spans="1:9">
      <c r="A22" s="1089"/>
      <c r="B22" s="559" t="s">
        <v>255</v>
      </c>
      <c r="C22" s="549"/>
      <c r="D22" s="549"/>
      <c r="E22" s="550"/>
      <c r="F22" s="550"/>
      <c r="G22" s="551"/>
      <c r="H22" s="551"/>
      <c r="I22" s="552"/>
    </row>
    <row r="23" spans="1:9">
      <c r="A23" s="1089"/>
      <c r="B23" s="566" t="s">
        <v>256</v>
      </c>
      <c r="C23" s="566"/>
      <c r="D23" s="566"/>
      <c r="E23" s="567"/>
      <c r="F23" s="567"/>
      <c r="G23" s="59"/>
      <c r="H23" s="59"/>
      <c r="I23" s="553"/>
    </row>
    <row r="24" spans="1:9">
      <c r="A24" s="1089"/>
      <c r="B24" s="566" t="s">
        <v>329</v>
      </c>
      <c r="C24" s="566"/>
      <c r="D24" s="566"/>
      <c r="E24" s="567"/>
      <c r="F24" s="567"/>
      <c r="G24" s="59"/>
      <c r="H24" s="59"/>
      <c r="I24" s="553"/>
    </row>
    <row r="25" spans="1:9">
      <c r="A25" s="1089"/>
      <c r="B25" s="586" t="s">
        <v>328</v>
      </c>
      <c r="C25" s="586"/>
      <c r="D25" s="586"/>
      <c r="E25" s="587"/>
      <c r="F25" s="587"/>
      <c r="G25" s="59"/>
      <c r="H25" s="59"/>
      <c r="I25" s="553"/>
    </row>
    <row r="26" spans="1:9">
      <c r="A26" s="1089"/>
      <c r="B26" s="1098" t="s">
        <v>289</v>
      </c>
      <c r="C26" s="1098"/>
      <c r="D26" s="1098"/>
      <c r="E26" s="1098"/>
      <c r="F26" s="1098"/>
      <c r="G26" s="1098"/>
      <c r="H26" s="1098"/>
      <c r="I26" s="1099"/>
    </row>
    <row r="27" spans="1:9">
      <c r="A27" s="1089"/>
      <c r="B27" s="1098"/>
      <c r="C27" s="1098"/>
      <c r="D27" s="1098"/>
      <c r="E27" s="1098"/>
      <c r="F27" s="1098"/>
      <c r="G27" s="1098"/>
      <c r="H27" s="1098"/>
      <c r="I27" s="1099"/>
    </row>
    <row r="28" spans="1:9" ht="16" thickBot="1">
      <c r="A28" s="1090"/>
      <c r="B28" s="554"/>
      <c r="C28" s="554"/>
      <c r="D28" s="554"/>
      <c r="E28" s="554"/>
      <c r="F28" s="554"/>
      <c r="G28" s="554"/>
      <c r="H28" s="554"/>
      <c r="I28" s="555"/>
    </row>
    <row r="29" spans="1:9">
      <c r="B29" s="542"/>
      <c r="C29" s="542"/>
      <c r="D29" s="542"/>
      <c r="E29" s="542"/>
      <c r="F29" s="542"/>
      <c r="G29" s="542"/>
      <c r="H29" s="542"/>
      <c r="I29" s="542"/>
    </row>
    <row r="30" spans="1:9" ht="16" thickBot="1">
      <c r="B30" s="529"/>
      <c r="C30" s="529"/>
      <c r="D30" s="529"/>
      <c r="E30" s="80"/>
      <c r="F30" s="532"/>
      <c r="G30" s="533"/>
      <c r="H30" s="533"/>
      <c r="I30" s="533"/>
    </row>
    <row r="31" spans="1:9" ht="22" customHeight="1" thickBot="1">
      <c r="A31" s="1088" t="s">
        <v>296</v>
      </c>
      <c r="B31" s="1086" t="s">
        <v>290</v>
      </c>
      <c r="C31" s="1086"/>
      <c r="D31" s="1086"/>
      <c r="E31" s="1086"/>
      <c r="F31" s="1086"/>
      <c r="G31" s="1086"/>
      <c r="H31" s="1086"/>
      <c r="I31" s="1087"/>
    </row>
    <row r="32" spans="1:9" ht="37" customHeight="1" thickBot="1">
      <c r="A32" s="1089"/>
      <c r="B32" s="1083" t="s">
        <v>298</v>
      </c>
      <c r="C32" s="1084"/>
      <c r="D32" s="1084"/>
      <c r="E32" s="1084"/>
      <c r="F32" s="1084"/>
      <c r="G32" s="1084"/>
      <c r="H32" s="1084"/>
      <c r="I32" s="1085"/>
    </row>
    <row r="33" spans="1:11" ht="17" thickBot="1">
      <c r="A33" s="1089"/>
      <c r="B33" s="543" t="s">
        <v>308</v>
      </c>
      <c r="C33" s="543"/>
      <c r="D33" s="543"/>
      <c r="E33" s="543"/>
      <c r="F33" s="543"/>
      <c r="G33" s="1132" t="s">
        <v>57</v>
      </c>
      <c r="H33" s="1133"/>
      <c r="I33" s="1134"/>
    </row>
    <row r="34" spans="1:11">
      <c r="A34" s="1089"/>
      <c r="B34" s="544" t="s">
        <v>258</v>
      </c>
      <c r="C34" s="544"/>
      <c r="D34" s="544"/>
      <c r="E34" s="544"/>
      <c r="F34" s="544"/>
      <c r="G34" s="1129" t="s">
        <v>302</v>
      </c>
      <c r="H34" s="1130"/>
      <c r="I34" s="1131"/>
    </row>
    <row r="35" spans="1:11">
      <c r="A35" s="1089"/>
      <c r="B35" s="545" t="s">
        <v>319</v>
      </c>
      <c r="C35" s="545"/>
      <c r="D35" s="545"/>
      <c r="E35" s="545"/>
      <c r="F35" s="545"/>
      <c r="G35" s="1120" t="s">
        <v>303</v>
      </c>
      <c r="H35" s="1121"/>
      <c r="I35" s="1122"/>
    </row>
    <row r="36" spans="1:11" ht="16" thickBot="1">
      <c r="A36" s="1089"/>
      <c r="B36" s="546" t="s">
        <v>320</v>
      </c>
      <c r="C36" s="546"/>
      <c r="D36" s="546"/>
      <c r="E36" s="546"/>
      <c r="F36" s="546"/>
      <c r="G36" s="1123">
        <v>48</v>
      </c>
      <c r="H36" s="1124"/>
      <c r="I36" s="1125"/>
    </row>
    <row r="37" spans="1:11" ht="16" thickBot="1">
      <c r="A37" s="1089"/>
      <c r="B37" s="1091"/>
      <c r="C37" s="1092"/>
      <c r="D37" s="1092"/>
      <c r="E37" s="1092"/>
      <c r="F37" s="1092"/>
      <c r="G37" s="1092"/>
      <c r="H37" s="1092"/>
      <c r="I37" s="1093"/>
      <c r="J37" s="560"/>
      <c r="K37" s="560"/>
    </row>
    <row r="38" spans="1:11" ht="17" thickBot="1">
      <c r="A38" s="1089"/>
      <c r="B38" s="543" t="s">
        <v>307</v>
      </c>
      <c r="C38" s="543"/>
      <c r="D38" s="543"/>
      <c r="E38" s="543"/>
      <c r="F38" s="543"/>
      <c r="G38" s="1126" t="s">
        <v>57</v>
      </c>
      <c r="H38" s="1127"/>
      <c r="I38" s="1128"/>
    </row>
    <row r="39" spans="1:11" ht="16">
      <c r="A39" s="1089"/>
      <c r="B39" s="547" t="s">
        <v>259</v>
      </c>
      <c r="C39" s="547"/>
      <c r="D39" s="547"/>
      <c r="E39" s="547"/>
      <c r="F39" s="547"/>
      <c r="G39" s="1129" t="s">
        <v>263</v>
      </c>
      <c r="H39" s="1130"/>
      <c r="I39" s="1131"/>
    </row>
    <row r="40" spans="1:11">
      <c r="A40" s="1089"/>
      <c r="B40" s="545" t="s">
        <v>260</v>
      </c>
      <c r="C40" s="545"/>
      <c r="D40" s="545"/>
      <c r="E40" s="545"/>
      <c r="F40" s="545"/>
      <c r="G40" s="1120" t="s">
        <v>264</v>
      </c>
      <c r="H40" s="1121"/>
      <c r="I40" s="1122"/>
    </row>
    <row r="41" spans="1:11">
      <c r="A41" s="1089"/>
      <c r="B41" s="545" t="s">
        <v>261</v>
      </c>
      <c r="C41" s="545"/>
      <c r="D41" s="545"/>
      <c r="E41" s="545"/>
      <c r="F41" s="545"/>
      <c r="G41" s="1120" t="s">
        <v>265</v>
      </c>
      <c r="H41" s="1121"/>
      <c r="I41" s="1122"/>
    </row>
    <row r="42" spans="1:11" ht="16" thickBot="1">
      <c r="A42" s="1089"/>
      <c r="B42" s="546" t="s">
        <v>262</v>
      </c>
      <c r="C42" s="546"/>
      <c r="D42" s="546"/>
      <c r="E42" s="546"/>
      <c r="F42" s="546"/>
      <c r="G42" s="1123" t="s">
        <v>266</v>
      </c>
      <c r="H42" s="1124"/>
      <c r="I42" s="1125"/>
    </row>
    <row r="43" spans="1:11" ht="16" thickBot="1">
      <c r="A43" s="1089"/>
      <c r="B43" s="1091"/>
      <c r="C43" s="1092"/>
      <c r="D43" s="1092"/>
      <c r="E43" s="1092"/>
      <c r="F43" s="1092"/>
      <c r="G43" s="1092"/>
      <c r="H43" s="1092"/>
      <c r="I43" s="1093"/>
      <c r="J43" s="560"/>
      <c r="K43" s="560"/>
    </row>
    <row r="44" spans="1:11" ht="16">
      <c r="A44" s="1089"/>
      <c r="B44" s="530" t="s">
        <v>309</v>
      </c>
      <c r="C44" s="530"/>
      <c r="D44" s="530"/>
      <c r="E44" s="530"/>
      <c r="F44" s="530"/>
      <c r="G44" s="1114" t="s">
        <v>270</v>
      </c>
      <c r="H44" s="1115"/>
      <c r="I44" s="1116"/>
    </row>
    <row r="45" spans="1:11">
      <c r="A45" s="1089"/>
      <c r="B45" s="531" t="s">
        <v>310</v>
      </c>
      <c r="C45" s="531"/>
      <c r="D45" s="531"/>
      <c r="E45" s="531"/>
      <c r="F45" s="531"/>
      <c r="G45" s="1117"/>
      <c r="H45" s="1118"/>
      <c r="I45" s="1119"/>
    </row>
    <row r="46" spans="1:11">
      <c r="A46" s="1089"/>
      <c r="B46" s="548" t="s">
        <v>267</v>
      </c>
      <c r="C46" s="548"/>
      <c r="D46" s="548"/>
      <c r="E46" s="548"/>
      <c r="F46" s="548"/>
      <c r="G46" s="1120" t="s">
        <v>268</v>
      </c>
      <c r="H46" s="1121"/>
      <c r="I46" s="1122"/>
    </row>
    <row r="47" spans="1:11" ht="16" thickBot="1">
      <c r="A47" s="1090"/>
      <c r="B47" s="287" t="s">
        <v>311</v>
      </c>
      <c r="C47" s="287"/>
      <c r="D47" s="287"/>
      <c r="E47" s="287"/>
      <c r="F47" s="287"/>
      <c r="G47" s="1123" t="s">
        <v>269</v>
      </c>
      <c r="H47" s="1124"/>
      <c r="I47" s="1125"/>
    </row>
  </sheetData>
  <sheetProtection sheet="1" objects="1" scenarios="1"/>
  <mergeCells count="41">
    <mergeCell ref="G36:I36"/>
    <mergeCell ref="G38:I38"/>
    <mergeCell ref="G39:I39"/>
    <mergeCell ref="G33:I33"/>
    <mergeCell ref="G34:I34"/>
    <mergeCell ref="G35:I35"/>
    <mergeCell ref="G44:I45"/>
    <mergeCell ref="G46:I46"/>
    <mergeCell ref="G47:I47"/>
    <mergeCell ref="G40:I40"/>
    <mergeCell ref="G41:I41"/>
    <mergeCell ref="G42:I42"/>
    <mergeCell ref="B12:B13"/>
    <mergeCell ref="C12:C13"/>
    <mergeCell ref="D12:D13"/>
    <mergeCell ref="E12:E13"/>
    <mergeCell ref="F12:F13"/>
    <mergeCell ref="E16:E17"/>
    <mergeCell ref="F16:F17"/>
    <mergeCell ref="G4:G5"/>
    <mergeCell ref="H4:H5"/>
    <mergeCell ref="I4:I5"/>
    <mergeCell ref="G12:G13"/>
    <mergeCell ref="H12:H13"/>
    <mergeCell ref="I12:I13"/>
    <mergeCell ref="B3:I3"/>
    <mergeCell ref="B32:I32"/>
    <mergeCell ref="B31:I31"/>
    <mergeCell ref="A1:A28"/>
    <mergeCell ref="A31:A47"/>
    <mergeCell ref="B37:I37"/>
    <mergeCell ref="B43:I43"/>
    <mergeCell ref="B1:I2"/>
    <mergeCell ref="B26:I27"/>
    <mergeCell ref="G16:G17"/>
    <mergeCell ref="H16:H17"/>
    <mergeCell ref="I16:I17"/>
    <mergeCell ref="H20:H21"/>
    <mergeCell ref="B16:B17"/>
    <mergeCell ref="C16:C17"/>
    <mergeCell ref="D16:D17"/>
  </mergeCells>
  <phoneticPr fontId="6" type="noConversion"/>
  <pageMargins left="0.7" right="0.7" top="0.75" bottom="0.75" header="0.3" footer="0.3"/>
  <pageSetup paperSize="9" scale="51" orientation="portrait" r:id="rId1"/>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214"/>
  <sheetViews>
    <sheetView view="pageBreakPreview" topLeftCell="A76" zoomScaleSheetLayoutView="125" workbookViewId="0">
      <selection activeCell="G92" sqref="G92"/>
    </sheetView>
  </sheetViews>
  <sheetFormatPr baseColWidth="10" defaultColWidth="8.83203125" defaultRowHeight="14"/>
  <cols>
    <col min="1" max="9" width="13.33203125" style="2" customWidth="1"/>
    <col min="10" max="10" width="9.33203125" style="2" bestFit="1" customWidth="1"/>
    <col min="11" max="16384" width="8.83203125" style="2"/>
  </cols>
  <sheetData>
    <row r="1" spans="1:22" ht="23" customHeight="1">
      <c r="A1" s="1250" t="s">
        <v>19</v>
      </c>
      <c r="B1" s="1251"/>
      <c r="C1" s="1251"/>
      <c r="D1" s="1251"/>
      <c r="E1" s="1251"/>
      <c r="F1" s="1251"/>
      <c r="G1" s="1251"/>
      <c r="H1" s="1251"/>
      <c r="I1" s="1252"/>
      <c r="J1" s="42"/>
    </row>
    <row r="2" spans="1:22" ht="23" customHeight="1">
      <c r="A2" s="1263" t="s">
        <v>6</v>
      </c>
      <c r="B2" s="1264"/>
      <c r="C2" s="1264"/>
      <c r="D2" s="1264"/>
      <c r="E2" s="1264"/>
      <c r="F2" s="1264"/>
      <c r="G2" s="1264"/>
      <c r="H2" s="1264"/>
      <c r="I2" s="1265"/>
    </row>
    <row r="3" spans="1:22" ht="24" customHeight="1" thickBot="1">
      <c r="A3" s="1279" t="str">
        <f>'Forside 1'!A6:I6</f>
        <v>Gældende fra 1. april 2019</v>
      </c>
      <c r="B3" s="1280"/>
      <c r="C3" s="1280"/>
      <c r="D3" s="1280"/>
      <c r="E3" s="1280"/>
      <c r="F3" s="1280"/>
      <c r="G3" s="1280"/>
      <c r="H3" s="1280"/>
      <c r="I3" s="1281"/>
      <c r="N3" s="79"/>
      <c r="O3" s="79"/>
      <c r="P3" s="79"/>
      <c r="Q3" s="79"/>
      <c r="R3" s="79"/>
      <c r="S3" s="79"/>
      <c r="T3" s="79"/>
      <c r="U3" s="79"/>
      <c r="V3" s="79"/>
    </row>
    <row r="4" spans="1:22" ht="20" customHeight="1" thickBot="1">
      <c r="A4" s="44"/>
      <c r="B4" s="44"/>
      <c r="C4" s="44"/>
      <c r="D4" s="44"/>
      <c r="E4" s="44"/>
      <c r="F4" s="44"/>
      <c r="G4" s="44"/>
      <c r="H4" s="44"/>
      <c r="I4" s="44"/>
      <c r="N4" s="1278"/>
      <c r="O4" s="1278"/>
      <c r="P4" s="1278"/>
      <c r="Q4" s="1278"/>
      <c r="R4" s="1278"/>
      <c r="S4" s="1278"/>
      <c r="T4" s="1278"/>
      <c r="U4" s="1278"/>
      <c r="V4" s="1278"/>
    </row>
    <row r="5" spans="1:22" ht="20" customHeight="1">
      <c r="A5" s="1159" t="s">
        <v>275</v>
      </c>
      <c r="B5" s="1160"/>
      <c r="C5" s="1160"/>
      <c r="D5" s="1160"/>
      <c r="E5" s="1160"/>
      <c r="F5" s="1160"/>
      <c r="G5" s="1160"/>
      <c r="H5" s="1161"/>
      <c r="I5" s="68"/>
      <c r="N5" s="79"/>
      <c r="O5" s="79"/>
      <c r="P5" s="79"/>
      <c r="Q5" s="79"/>
      <c r="R5" s="79"/>
      <c r="S5" s="79"/>
      <c r="T5" s="79"/>
      <c r="U5" s="79"/>
      <c r="V5" s="79"/>
    </row>
    <row r="6" spans="1:22" ht="20" customHeight="1" thickBot="1">
      <c r="A6" s="1247" t="s">
        <v>482</v>
      </c>
      <c r="B6" s="1248"/>
      <c r="C6" s="1248"/>
      <c r="D6" s="1248"/>
      <c r="E6" s="1248"/>
      <c r="F6" s="1248"/>
      <c r="G6" s="1248"/>
      <c r="H6" s="1249"/>
      <c r="I6" s="68"/>
      <c r="N6" s="79"/>
      <c r="O6" s="79"/>
      <c r="P6" s="79"/>
      <c r="Q6" s="79"/>
      <c r="R6" s="79"/>
      <c r="S6" s="79"/>
      <c r="T6" s="79"/>
      <c r="U6" s="79"/>
      <c r="V6" s="79"/>
    </row>
    <row r="7" spans="1:22" ht="24" customHeight="1" thickBot="1">
      <c r="A7" s="1288" t="s">
        <v>95</v>
      </c>
      <c r="B7" s="1285" t="s">
        <v>0</v>
      </c>
      <c r="C7" s="1138" t="s">
        <v>4</v>
      </c>
      <c r="D7" s="1138"/>
      <c r="E7" s="1184"/>
      <c r="F7" s="1282" t="s">
        <v>5</v>
      </c>
      <c r="G7" s="1283"/>
      <c r="H7" s="1284"/>
      <c r="I7" s="69"/>
      <c r="J7" s="27"/>
    </row>
    <row r="8" spans="1:22" ht="30">
      <c r="A8" s="1289"/>
      <c r="B8" s="1286"/>
      <c r="C8" s="359" t="s">
        <v>133</v>
      </c>
      <c r="D8" s="359" t="s">
        <v>372</v>
      </c>
      <c r="E8" s="359" t="s">
        <v>295</v>
      </c>
      <c r="F8" s="681" t="s">
        <v>133</v>
      </c>
      <c r="G8" s="681" t="s">
        <v>372</v>
      </c>
      <c r="H8" s="681" t="s">
        <v>295</v>
      </c>
      <c r="I8" s="56"/>
    </row>
    <row r="9" spans="1:22" ht="18" customHeight="1" thickBot="1">
      <c r="A9" s="1290"/>
      <c r="B9" s="1287"/>
      <c r="C9" s="360">
        <v>40999</v>
      </c>
      <c r="D9" s="360" t="str">
        <f>'Løntabel gældende fra'!$D$1</f>
        <v>01/04/2019</v>
      </c>
      <c r="E9" s="360" t="str">
        <f>'Løntabel gældende fra'!$D$1</f>
        <v>01/04/2019</v>
      </c>
      <c r="F9" s="361">
        <v>40999</v>
      </c>
      <c r="G9" s="360" t="str">
        <f>'Løntabel gældende fra'!$D$1</f>
        <v>01/04/2019</v>
      </c>
      <c r="H9" s="360" t="str">
        <f>'Løntabel gældende fra'!$D$1</f>
        <v>01/04/2019</v>
      </c>
      <c r="I9" s="67"/>
    </row>
    <row r="10" spans="1:22" ht="15" customHeight="1">
      <c r="A10" s="364" t="s">
        <v>1</v>
      </c>
      <c r="B10" s="365">
        <v>1</v>
      </c>
      <c r="C10" s="146">
        <v>279695</v>
      </c>
      <c r="D10" s="147">
        <f>C10+(C10*'Løntabel gældende fra'!$D$7%)</f>
        <v>303444.18214499997</v>
      </c>
      <c r="E10" s="147">
        <f>D10/12</f>
        <v>25287.015178749996</v>
      </c>
      <c r="F10" s="146">
        <v>266588</v>
      </c>
      <c r="G10" s="148">
        <f>F10+(F10*'Løntabel gældende fra'!$D$7%)</f>
        <v>289224.25366799999</v>
      </c>
      <c r="H10" s="147">
        <f>G10/12</f>
        <v>24102.021139</v>
      </c>
      <c r="I10" s="10"/>
    </row>
    <row r="11" spans="1:22" ht="15" customHeight="1">
      <c r="A11" s="366" t="s">
        <v>51</v>
      </c>
      <c r="B11" s="367">
        <v>2</v>
      </c>
      <c r="C11" s="149">
        <v>298044</v>
      </c>
      <c r="D11" s="150">
        <f>C11+(C11*'Løntabel gældende fra'!$D$7%)</f>
        <v>323351.21408399998</v>
      </c>
      <c r="E11" s="150">
        <f>D11/12</f>
        <v>26945.934506999998</v>
      </c>
      <c r="F11" s="149">
        <v>279695</v>
      </c>
      <c r="G11" s="151">
        <f>F11+(F11*'Løntabel gældende fra'!$D$7%)</f>
        <v>303444.18214499997</v>
      </c>
      <c r="H11" s="152">
        <f>G11/12</f>
        <v>25287.015178749996</v>
      </c>
      <c r="I11" s="10"/>
    </row>
    <row r="12" spans="1:22" ht="15" customHeight="1">
      <c r="A12" s="366" t="s">
        <v>2</v>
      </c>
      <c r="B12" s="367">
        <v>3</v>
      </c>
      <c r="C12" s="149">
        <v>325699</v>
      </c>
      <c r="D12" s="150">
        <f>C12+(C12*'Løntabel gældende fra'!$D$7%)</f>
        <v>353354.42778899998</v>
      </c>
      <c r="E12" s="150">
        <f>D12/12</f>
        <v>29446.202315749997</v>
      </c>
      <c r="F12" s="149">
        <v>290311</v>
      </c>
      <c r="G12" s="151">
        <f>F12+(F12*'Løntabel gældende fra'!$D$7%)</f>
        <v>314961.59732100001</v>
      </c>
      <c r="H12" s="152">
        <f>G12/12</f>
        <v>26246.799776750002</v>
      </c>
      <c r="I12" s="10"/>
    </row>
    <row r="13" spans="1:22" ht="15" customHeight="1" thickBot="1">
      <c r="A13" s="368" t="s">
        <v>3</v>
      </c>
      <c r="B13" s="369">
        <v>4</v>
      </c>
      <c r="C13" s="154">
        <v>351388</v>
      </c>
      <c r="D13" s="155">
        <f>C13+(C13*'Løntabel gældende fra'!$D$7%)</f>
        <v>381224.70646800002</v>
      </c>
      <c r="E13" s="155">
        <f>D13/12</f>
        <v>31768.725539000003</v>
      </c>
      <c r="F13" s="154">
        <v>309054</v>
      </c>
      <c r="G13" s="156">
        <f>F13+(F13*'Løntabel gældende fra'!$D$7%)</f>
        <v>335296.084194</v>
      </c>
      <c r="H13" s="157">
        <f>G13/12</f>
        <v>27941.340349499998</v>
      </c>
      <c r="I13" s="10"/>
    </row>
    <row r="14" spans="1:22" ht="21" customHeight="1" thickBot="1">
      <c r="A14" s="8"/>
      <c r="B14" s="8"/>
      <c r="C14" s="9"/>
      <c r="D14" s="8"/>
      <c r="E14" s="8"/>
      <c r="F14" s="9"/>
      <c r="G14" s="8"/>
      <c r="H14" s="8"/>
      <c r="I14" s="10"/>
    </row>
    <row r="15" spans="1:22" ht="20" customHeight="1">
      <c r="A15" s="1159" t="s">
        <v>436</v>
      </c>
      <c r="B15" s="1160"/>
      <c r="C15" s="1160"/>
      <c r="D15" s="1160"/>
      <c r="E15" s="1160"/>
      <c r="F15" s="1160"/>
      <c r="G15" s="1160"/>
      <c r="H15" s="1161"/>
      <c r="I15" s="68"/>
    </row>
    <row r="16" spans="1:22" ht="20" customHeight="1" thickBot="1">
      <c r="A16" s="1247" t="s">
        <v>483</v>
      </c>
      <c r="B16" s="1248"/>
      <c r="C16" s="1248"/>
      <c r="D16" s="1248"/>
      <c r="E16" s="1248"/>
      <c r="F16" s="1248"/>
      <c r="G16" s="1248"/>
      <c r="H16" s="1249"/>
      <c r="I16" s="68"/>
    </row>
    <row r="17" spans="1:9" ht="23" customHeight="1" thickBot="1">
      <c r="A17" s="1168" t="s">
        <v>11</v>
      </c>
      <c r="B17" s="1169"/>
      <c r="C17" s="1137" t="s">
        <v>4</v>
      </c>
      <c r="D17" s="1138"/>
      <c r="E17" s="1184"/>
      <c r="F17" s="1282" t="s">
        <v>5</v>
      </c>
      <c r="G17" s="1283"/>
      <c r="H17" s="1284"/>
      <c r="I17" s="69"/>
    </row>
    <row r="18" spans="1:9" ht="15">
      <c r="A18" s="1258"/>
      <c r="B18" s="1259"/>
      <c r="C18" s="1166" t="s">
        <v>243</v>
      </c>
      <c r="D18" s="359" t="s">
        <v>99</v>
      </c>
      <c r="E18" s="359" t="s">
        <v>371</v>
      </c>
      <c r="F18" s="1166" t="s">
        <v>243</v>
      </c>
      <c r="G18" s="359" t="s">
        <v>100</v>
      </c>
      <c r="H18" s="681" t="s">
        <v>371</v>
      </c>
      <c r="I18" s="11"/>
    </row>
    <row r="19" spans="1:9" ht="16" thickBot="1">
      <c r="A19" s="1258"/>
      <c r="B19" s="1259"/>
      <c r="C19" s="1182"/>
      <c r="D19" s="362">
        <v>40999</v>
      </c>
      <c r="E19" s="363" t="str">
        <f>'Løntabel gældende fra'!$D$1</f>
        <v>01/04/2019</v>
      </c>
      <c r="F19" s="1182"/>
      <c r="G19" s="362">
        <v>40999</v>
      </c>
      <c r="H19" s="363" t="str">
        <f>'Løntabel gældende fra'!$D$1</f>
        <v>01/04/2019</v>
      </c>
      <c r="I19" s="70"/>
    </row>
    <row r="20" spans="1:9" ht="15" customHeight="1">
      <c r="A20" s="1258"/>
      <c r="B20" s="1260"/>
      <c r="C20" s="158" t="s">
        <v>43</v>
      </c>
      <c r="D20" s="159">
        <v>16.38</v>
      </c>
      <c r="E20" s="150">
        <f>D20+(D20*'Løntabel gældende fra'!$D$7%)</f>
        <v>17.770842179999999</v>
      </c>
      <c r="F20" s="160" t="s">
        <v>47</v>
      </c>
      <c r="G20" s="161">
        <v>22.4054</v>
      </c>
      <c r="H20" s="150">
        <f>G20+(G20*'Løntabel gældende fra'!$D$7%)</f>
        <v>24.3078649194</v>
      </c>
      <c r="I20" s="51"/>
    </row>
    <row r="21" spans="1:9" ht="15" customHeight="1">
      <c r="A21" s="1258"/>
      <c r="B21" s="1260"/>
      <c r="C21" s="162" t="s">
        <v>44</v>
      </c>
      <c r="D21" s="151">
        <v>98.3</v>
      </c>
      <c r="E21" s="150">
        <f>D21+(D21*'Løntabel gældende fra'!$D$7%)</f>
        <v>106.64675129999999</v>
      </c>
      <c r="F21" s="163" t="s">
        <v>48</v>
      </c>
      <c r="G21" s="164">
        <v>65.525400000000005</v>
      </c>
      <c r="H21" s="150">
        <f>G21+(G21*'Løntabel gældende fra'!$D$7%)</f>
        <v>71.089227239400003</v>
      </c>
      <c r="I21" s="51"/>
    </row>
    <row r="22" spans="1:9" ht="15" customHeight="1">
      <c r="A22" s="1258"/>
      <c r="B22" s="1260"/>
      <c r="C22" s="162" t="s">
        <v>45</v>
      </c>
      <c r="D22" s="165">
        <v>131.07</v>
      </c>
      <c r="E22" s="150">
        <f>D22+(D22*'Løntabel gældende fra'!$D$7%)</f>
        <v>142.19928476999999</v>
      </c>
      <c r="F22" s="163" t="s">
        <v>49</v>
      </c>
      <c r="G22" s="164">
        <v>131.07</v>
      </c>
      <c r="H22" s="150">
        <f>G22+(G22*'Løntabel gældende fra'!$D$7%)</f>
        <v>142.19928476999999</v>
      </c>
      <c r="I22" s="51"/>
    </row>
    <row r="23" spans="1:9" ht="15" customHeight="1" thickBot="1">
      <c r="A23" s="1261"/>
      <c r="B23" s="1262"/>
      <c r="C23" s="166" t="s">
        <v>46</v>
      </c>
      <c r="D23" s="167">
        <v>163.83000000000001</v>
      </c>
      <c r="E23" s="155">
        <f>D23+(D23*'Løntabel gældende fra'!$D$7%)</f>
        <v>177.74096913000002</v>
      </c>
      <c r="F23" s="168" t="s">
        <v>50</v>
      </c>
      <c r="G23" s="169">
        <v>163.82830000000001</v>
      </c>
      <c r="H23" s="155">
        <f>G23+(G23*'Løntabel gældende fra'!$D$7%)</f>
        <v>177.73912478130001</v>
      </c>
      <c r="I23" s="51"/>
    </row>
    <row r="24" spans="1:9" s="125" customFormat="1" ht="21" customHeight="1" thickBot="1">
      <c r="A24" s="121"/>
      <c r="B24" s="121"/>
      <c r="C24" s="122"/>
      <c r="D24" s="123"/>
      <c r="E24" s="123"/>
      <c r="F24" s="122"/>
      <c r="G24" s="123"/>
      <c r="H24" s="123"/>
      <c r="I24" s="124"/>
    </row>
    <row r="25" spans="1:9" ht="20" customHeight="1">
      <c r="A25" s="1139" t="s">
        <v>253</v>
      </c>
      <c r="B25" s="1276"/>
      <c r="C25" s="1276"/>
      <c r="D25" s="1276"/>
      <c r="E25" s="1276"/>
      <c r="F25" s="1276"/>
      <c r="G25" s="1276"/>
      <c r="H25" s="1276"/>
      <c r="I25" s="1277"/>
    </row>
    <row r="26" spans="1:9" ht="20" customHeight="1" thickBot="1">
      <c r="A26" s="1303" t="str">
        <f>"Indtast det årlige timetal i de gule felter. Arket beregner derefter det månedlige undervisningstillæg pr. "&amp;'Løntabel gældende fra'!D1&amp;""</f>
        <v>Indtast det årlige timetal i de gule felter. Arket beregner derefter det månedlige undervisningstillæg pr. 01/04/2019</v>
      </c>
      <c r="B26" s="1304"/>
      <c r="C26" s="1304"/>
      <c r="D26" s="1304"/>
      <c r="E26" s="1304"/>
      <c r="F26" s="1304"/>
      <c r="G26" s="1304"/>
      <c r="H26" s="1304"/>
      <c r="I26" s="1305"/>
    </row>
    <row r="27" spans="1:9" ht="24" customHeight="1">
      <c r="A27" s="1256"/>
      <c r="B27" s="1257"/>
      <c r="C27" s="1254" t="s">
        <v>4</v>
      </c>
      <c r="D27" s="1254"/>
      <c r="E27" s="1255"/>
      <c r="F27" s="1253" t="s">
        <v>5</v>
      </c>
      <c r="G27" s="1254"/>
      <c r="H27" s="1254"/>
      <c r="I27" s="1255"/>
    </row>
    <row r="28" spans="1:9" ht="20" customHeight="1">
      <c r="A28" s="1268" t="s">
        <v>12</v>
      </c>
      <c r="B28" s="1269"/>
      <c r="C28" s="1270">
        <v>750</v>
      </c>
      <c r="D28" s="1271"/>
      <c r="E28" s="1272"/>
      <c r="F28" s="1270"/>
      <c r="G28" s="1271"/>
      <c r="H28" s="1271"/>
      <c r="I28" s="1272"/>
    </row>
    <row r="29" spans="1:9" ht="32.25" customHeight="1" thickBot="1">
      <c r="A29" s="1266" t="str">
        <f>"Mdr. undervisningstillæg pr. "&amp;'Løntabel gældende fra'!D1&amp;""</f>
        <v>Mdr. undervisningstillæg pr. 01/04/2019</v>
      </c>
      <c r="B29" s="1267"/>
      <c r="C29" s="1273">
        <f>IF(C28&lt;650,C28*E20,IF(AND(C28&gt;=650,C28&lt;700),650*E20+(C28-650)*E21,IF(AND(C28&gt;=700,C28&lt;750),650*E20+50*E21+(C28-700)*E22,IF(C28&gt;=750,650*E20+50*E21+50*E22+(C28-750)*E23,))))/12</f>
        <v>1999.4457683749999</v>
      </c>
      <c r="D29" s="1274" t="e">
        <f t="shared" ref="D29:H29" si="0">IF(D28&lt;750,D28*F20,IF(AND(D28&gt;=750,D28&lt;800),750*F20+(D28-750)*F21,IF(AND(D28&gt;=800,D28&lt;835),750*F20+50*F21+(D28-800)*F22,IF(D28&gt;=835,750*F20+50*F21+35*F22+(D28-835)*F23,))))</f>
        <v>#VALUE!</v>
      </c>
      <c r="E29" s="1275">
        <f t="shared" si="0"/>
        <v>0</v>
      </c>
      <c r="F29" s="1273">
        <f>IF(F28&lt;750,F28*H20,IF(AND(F28&gt;=750,F28&lt;800),750*H20+(F28-750)*H21,IF(AND(F28&gt;=800,F28&lt;835),750*H20+50*H21+(F28-800)*H22,IF(F28&gt;=835,750*H20+50*H21+35*H22+(F28-835)*H23,))))/12</f>
        <v>0</v>
      </c>
      <c r="G29" s="1274">
        <f t="shared" si="0"/>
        <v>0</v>
      </c>
      <c r="H29" s="1274">
        <f t="shared" si="0"/>
        <v>0</v>
      </c>
      <c r="I29" s="1275" t="e">
        <f>IF(I28&lt;750,I28*#REF!,IF(AND(I28&gt;=750,I28&lt;800),750*#REF!+(I28-750)*#REF!,IF(AND(I28&gt;=800,I28&lt;835),750*#REF!+50*#REF!+(I28-800)*#REF!,IF(I28&gt;=835,750*#REF!+50*#REF!+35*#REF!+(I28-835)*#REF!,))))</f>
        <v>#REF!</v>
      </c>
    </row>
    <row r="30" spans="1:9" ht="10.5" customHeight="1" thickBot="1">
      <c r="A30" s="57"/>
      <c r="B30" s="57"/>
      <c r="C30" s="8"/>
      <c r="D30" s="8"/>
      <c r="E30" s="8"/>
      <c r="F30" s="8"/>
      <c r="G30" s="8"/>
      <c r="H30" s="8"/>
      <c r="I30" s="8"/>
    </row>
    <row r="31" spans="1:9" ht="20" customHeight="1">
      <c r="A31" s="1293" t="s">
        <v>331</v>
      </c>
      <c r="B31" s="1294"/>
      <c r="C31" s="1294"/>
      <c r="D31" s="1294"/>
      <c r="E31" s="1294"/>
      <c r="F31" s="1294"/>
      <c r="G31" s="1294"/>
      <c r="H31" s="1294"/>
      <c r="I31" s="1295"/>
    </row>
    <row r="32" spans="1:9" ht="20" customHeight="1">
      <c r="A32" s="1296" t="s">
        <v>254</v>
      </c>
      <c r="B32" s="1297"/>
      <c r="C32" s="1297"/>
      <c r="D32" s="1297"/>
      <c r="E32" s="1297"/>
      <c r="F32" s="1297"/>
      <c r="G32" s="1297"/>
      <c r="H32" s="1297"/>
      <c r="I32" s="1298"/>
    </row>
    <row r="33" spans="1:9" ht="20" customHeight="1" thickBot="1">
      <c r="A33" s="1306" t="s">
        <v>343</v>
      </c>
      <c r="B33" s="1307"/>
      <c r="C33" s="1307"/>
      <c r="D33" s="1307"/>
      <c r="E33" s="1307"/>
      <c r="F33" s="1307"/>
      <c r="G33" s="1307"/>
      <c r="H33" s="1307"/>
      <c r="I33" s="1308"/>
    </row>
    <row r="34" spans="1:9" ht="24" customHeight="1" thickBot="1">
      <c r="A34" s="1167" t="s">
        <v>103</v>
      </c>
      <c r="B34" s="1291" t="s">
        <v>4</v>
      </c>
      <c r="C34" s="1291"/>
      <c r="D34" s="1291"/>
      <c r="E34" s="1292"/>
      <c r="F34" s="1319" t="s">
        <v>5</v>
      </c>
      <c r="G34" s="1291"/>
      <c r="H34" s="1291"/>
      <c r="I34" s="1292"/>
    </row>
    <row r="35" spans="1:9" ht="24" customHeight="1" thickBot="1">
      <c r="A35" s="1182"/>
      <c r="B35" s="469" t="s">
        <v>7</v>
      </c>
      <c r="C35" s="470" t="s">
        <v>8</v>
      </c>
      <c r="D35" s="469" t="s">
        <v>10</v>
      </c>
      <c r="E35" s="471" t="s">
        <v>9</v>
      </c>
      <c r="F35" s="472" t="s">
        <v>7</v>
      </c>
      <c r="G35" s="473" t="s">
        <v>8</v>
      </c>
      <c r="H35" s="401" t="s">
        <v>10</v>
      </c>
      <c r="I35" s="474" t="s">
        <v>9</v>
      </c>
    </row>
    <row r="36" spans="1:9" ht="15" customHeight="1">
      <c r="A36" s="370">
        <v>1</v>
      </c>
      <c r="B36" s="463">
        <v>325</v>
      </c>
      <c r="C36" s="466">
        <v>575</v>
      </c>
      <c r="D36" s="463">
        <v>900</v>
      </c>
      <c r="E36" s="171">
        <v>1150</v>
      </c>
      <c r="F36" s="468">
        <v>375</v>
      </c>
      <c r="G36" s="175">
        <v>625</v>
      </c>
      <c r="H36" s="385">
        <v>1000</v>
      </c>
      <c r="I36" s="175">
        <v>1250</v>
      </c>
    </row>
    <row r="37" spans="1:9" ht="15" customHeight="1">
      <c r="A37" s="371">
        <v>2</v>
      </c>
      <c r="B37" s="464">
        <v>275</v>
      </c>
      <c r="C37" s="466">
        <v>475</v>
      </c>
      <c r="D37" s="464">
        <v>750</v>
      </c>
      <c r="E37" s="171">
        <v>950</v>
      </c>
      <c r="F37" s="382">
        <v>325</v>
      </c>
      <c r="G37" s="197">
        <v>575</v>
      </c>
      <c r="H37" s="388">
        <v>900</v>
      </c>
      <c r="I37" s="197">
        <v>1150</v>
      </c>
    </row>
    <row r="38" spans="1:9" ht="15" customHeight="1">
      <c r="A38" s="371">
        <v>3</v>
      </c>
      <c r="B38" s="464">
        <v>175</v>
      </c>
      <c r="C38" s="466">
        <v>325</v>
      </c>
      <c r="D38" s="464">
        <v>500</v>
      </c>
      <c r="E38" s="171">
        <v>625</v>
      </c>
      <c r="F38" s="382">
        <v>300</v>
      </c>
      <c r="G38" s="197">
        <v>525</v>
      </c>
      <c r="H38" s="388">
        <v>825</v>
      </c>
      <c r="I38" s="197">
        <v>1050</v>
      </c>
    </row>
    <row r="39" spans="1:9" ht="15" customHeight="1" thickBot="1">
      <c r="A39" s="372">
        <v>4</v>
      </c>
      <c r="B39" s="465">
        <v>175</v>
      </c>
      <c r="C39" s="467">
        <v>325</v>
      </c>
      <c r="D39" s="465">
        <v>500</v>
      </c>
      <c r="E39" s="172">
        <v>625</v>
      </c>
      <c r="F39" s="390">
        <v>300</v>
      </c>
      <c r="G39" s="176">
        <v>525</v>
      </c>
      <c r="H39" s="386">
        <v>825</v>
      </c>
      <c r="I39" s="176">
        <v>1050</v>
      </c>
    </row>
    <row r="40" spans="1:9" ht="24" customHeight="1" thickBot="1">
      <c r="A40" s="58"/>
      <c r="B40" s="58"/>
      <c r="C40" s="8"/>
      <c r="D40" s="8"/>
      <c r="E40" s="8"/>
      <c r="F40" s="8"/>
      <c r="G40" s="8"/>
      <c r="H40" s="8"/>
      <c r="I40" s="8"/>
    </row>
    <row r="41" spans="1:9" ht="20" customHeight="1">
      <c r="A41" s="1139" t="s">
        <v>332</v>
      </c>
      <c r="B41" s="1276"/>
      <c r="C41" s="1276"/>
      <c r="D41" s="1276"/>
      <c r="E41" s="1276"/>
      <c r="F41" s="1276"/>
      <c r="G41" s="1277"/>
      <c r="H41" s="64"/>
      <c r="I41" s="7"/>
    </row>
    <row r="42" spans="1:9" ht="20" customHeight="1" thickBot="1">
      <c r="A42" s="1149" t="s">
        <v>344</v>
      </c>
      <c r="B42" s="1150"/>
      <c r="C42" s="1150"/>
      <c r="D42" s="1150"/>
      <c r="E42" s="1150"/>
      <c r="F42" s="1150"/>
      <c r="G42" s="1151"/>
      <c r="H42" s="64"/>
      <c r="I42" s="7"/>
    </row>
    <row r="43" spans="1:9" ht="13" customHeight="1">
      <c r="A43" s="1166" t="s">
        <v>0</v>
      </c>
      <c r="B43" s="1137" t="s">
        <v>133</v>
      </c>
      <c r="C43" s="1184"/>
      <c r="D43" s="1137" t="s">
        <v>372</v>
      </c>
      <c r="E43" s="1138"/>
      <c r="F43" s="1137" t="s">
        <v>295</v>
      </c>
      <c r="G43" s="1184"/>
      <c r="H43" s="46"/>
      <c r="I43" s="7"/>
    </row>
    <row r="44" spans="1:9" ht="14" customHeight="1" thickBot="1">
      <c r="A44" s="1182"/>
      <c r="B44" s="1199">
        <f>$D$19</f>
        <v>40999</v>
      </c>
      <c r="C44" s="1187"/>
      <c r="D44" s="1199" t="str">
        <f>'Løntabel gældende fra'!$D$1</f>
        <v>01/04/2019</v>
      </c>
      <c r="E44" s="1186"/>
      <c r="F44" s="1199" t="str">
        <f>'Løntabel gældende fra'!$D$1</f>
        <v>01/04/2019</v>
      </c>
      <c r="G44" s="1187"/>
      <c r="H44" s="46"/>
      <c r="I44" s="7"/>
    </row>
    <row r="45" spans="1:9" ht="15" customHeight="1">
      <c r="A45" s="370">
        <v>1</v>
      </c>
      <c r="B45" s="1216">
        <v>5200</v>
      </c>
      <c r="C45" s="1216"/>
      <c r="D45" s="1239">
        <f>B45+(B45*'Løntabel gældende fra'!$D$7%)</f>
        <v>5641.5371999999998</v>
      </c>
      <c r="E45" s="1240"/>
      <c r="F45" s="1242">
        <f>D45/12</f>
        <v>470.12809999999996</v>
      </c>
      <c r="G45" s="1243"/>
      <c r="H45" s="10"/>
      <c r="I45" s="7"/>
    </row>
    <row r="46" spans="1:9" ht="15" customHeight="1">
      <c r="A46" s="371">
        <v>2</v>
      </c>
      <c r="B46" s="1142">
        <v>7900</v>
      </c>
      <c r="C46" s="1142"/>
      <c r="D46" s="1218">
        <f>B46+(B46*'Løntabel gældende fra'!$D$7%)</f>
        <v>8570.7968999999994</v>
      </c>
      <c r="E46" s="1217"/>
      <c r="F46" s="1143">
        <f>D46/12</f>
        <v>714.23307499999999</v>
      </c>
      <c r="G46" s="1144"/>
      <c r="H46" s="10"/>
      <c r="I46" s="7"/>
    </row>
    <row r="47" spans="1:9" ht="15" customHeight="1" thickBot="1">
      <c r="A47" s="372">
        <v>3</v>
      </c>
      <c r="B47" s="1215">
        <v>7900</v>
      </c>
      <c r="C47" s="1215"/>
      <c r="D47" s="1212">
        <f>B47+(B47*'Løntabel gældende fra'!$D$7%)</f>
        <v>8570.7968999999994</v>
      </c>
      <c r="E47" s="1213"/>
      <c r="F47" s="1244">
        <f>D47/12</f>
        <v>714.23307499999999</v>
      </c>
      <c r="G47" s="1245"/>
      <c r="H47" s="10"/>
      <c r="I47" s="7"/>
    </row>
    <row r="48" spans="1:9" s="63" customFormat="1" ht="24" customHeight="1" thickBot="1">
      <c r="A48" s="46"/>
      <c r="B48" s="60"/>
      <c r="C48" s="46"/>
      <c r="D48" s="61"/>
      <c r="E48" s="46"/>
      <c r="F48" s="61"/>
      <c r="G48" s="46"/>
      <c r="H48" s="46"/>
      <c r="I48" s="62"/>
    </row>
    <row r="49" spans="1:17" ht="20" customHeight="1">
      <c r="A49" s="1139" t="s">
        <v>473</v>
      </c>
      <c r="B49" s="1140"/>
      <c r="C49" s="1140"/>
      <c r="D49" s="1140"/>
      <c r="E49" s="1140"/>
      <c r="F49" s="1140"/>
      <c r="G49" s="1141"/>
      <c r="H49" s="65"/>
      <c r="K49" s="16"/>
      <c r="L49" s="16"/>
      <c r="M49" s="16"/>
      <c r="N49" s="16"/>
      <c r="O49" s="16"/>
      <c r="P49" s="16"/>
      <c r="Q49" s="16"/>
    </row>
    <row r="50" spans="1:17" ht="20" customHeight="1" thickBot="1">
      <c r="A50" s="1149" t="s">
        <v>345</v>
      </c>
      <c r="B50" s="1150"/>
      <c r="C50" s="1150"/>
      <c r="D50" s="1150"/>
      <c r="E50" s="1150"/>
      <c r="F50" s="1150"/>
      <c r="G50" s="1151"/>
      <c r="H50" s="65"/>
      <c r="K50" s="16"/>
      <c r="L50" s="16"/>
      <c r="M50" s="16"/>
      <c r="N50" s="16"/>
      <c r="O50" s="16"/>
      <c r="P50" s="16"/>
      <c r="Q50" s="16"/>
    </row>
    <row r="51" spans="1:17" ht="16" customHeight="1">
      <c r="A51" s="1166" t="s">
        <v>0</v>
      </c>
      <c r="B51" s="1145" t="s">
        <v>133</v>
      </c>
      <c r="C51" s="1146"/>
      <c r="D51" s="1145" t="s">
        <v>372</v>
      </c>
      <c r="E51" s="1146"/>
      <c r="F51" s="1145" t="s">
        <v>295</v>
      </c>
      <c r="G51" s="1146"/>
      <c r="H51" s="46"/>
      <c r="K51" s="16"/>
      <c r="L51" s="16"/>
      <c r="M51" s="16"/>
      <c r="N51" s="16"/>
      <c r="O51" s="16"/>
      <c r="P51" s="16"/>
      <c r="Q51" s="16"/>
    </row>
    <row r="52" spans="1:17" ht="16" customHeight="1" thickBot="1">
      <c r="A52" s="1167"/>
      <c r="B52" s="1147">
        <f>C9</f>
        <v>40999</v>
      </c>
      <c r="C52" s="1148"/>
      <c r="D52" s="1214" t="str">
        <f>'Løntabel gældende fra'!D1</f>
        <v>01/04/2019</v>
      </c>
      <c r="E52" s="1148"/>
      <c r="F52" s="1214" t="str">
        <f>'Løntabel gældende fra'!D1</f>
        <v>01/04/2019</v>
      </c>
      <c r="G52" s="1148"/>
      <c r="H52" s="46"/>
      <c r="K52" s="16"/>
      <c r="L52" s="16"/>
      <c r="M52" s="16"/>
      <c r="N52" s="16"/>
      <c r="O52" s="16"/>
      <c r="P52" s="16"/>
      <c r="Q52" s="16"/>
    </row>
    <row r="53" spans="1:17" ht="15" customHeight="1">
      <c r="A53" s="370">
        <v>1</v>
      </c>
      <c r="B53" s="1241">
        <v>2800</v>
      </c>
      <c r="C53" s="1241"/>
      <c r="D53" s="1135">
        <f>B53+(B53*'Løntabel gældende fra'!$D$7%)</f>
        <v>3037.7507999999998</v>
      </c>
      <c r="E53" s="1136"/>
      <c r="F53" s="1241">
        <f>D53/12</f>
        <v>253.14589999999998</v>
      </c>
      <c r="G53" s="1240"/>
      <c r="H53" s="10"/>
      <c r="K53" s="16"/>
      <c r="L53" s="16"/>
      <c r="M53" s="16"/>
      <c r="N53" s="16"/>
      <c r="O53" s="16"/>
      <c r="P53" s="16"/>
      <c r="Q53" s="16"/>
    </row>
    <row r="54" spans="1:17" ht="15" customHeight="1">
      <c r="A54" s="371">
        <v>2</v>
      </c>
      <c r="B54" s="1142">
        <v>2800</v>
      </c>
      <c r="C54" s="1142"/>
      <c r="D54" s="1143">
        <f>B54+(B54*'Løntabel gældende fra'!$D$7%)</f>
        <v>3037.7507999999998</v>
      </c>
      <c r="E54" s="1144"/>
      <c r="F54" s="1216">
        <f>D54/12</f>
        <v>253.14589999999998</v>
      </c>
      <c r="G54" s="1217"/>
      <c r="H54" s="10"/>
      <c r="K54" s="16"/>
      <c r="L54" s="16"/>
      <c r="M54" s="16"/>
      <c r="N54" s="16"/>
      <c r="O54" s="16"/>
      <c r="P54" s="16"/>
      <c r="Q54" s="16"/>
    </row>
    <row r="55" spans="1:17" ht="15" customHeight="1">
      <c r="A55" s="373">
        <v>3</v>
      </c>
      <c r="B55" s="1142">
        <v>2800</v>
      </c>
      <c r="C55" s="1142"/>
      <c r="D55" s="1143">
        <f>B55+(B55*'Løntabel gældende fra'!$D$7%)</f>
        <v>3037.7507999999998</v>
      </c>
      <c r="E55" s="1144"/>
      <c r="F55" s="1216">
        <f>D55/12</f>
        <v>253.14589999999998</v>
      </c>
      <c r="G55" s="1217"/>
      <c r="H55" s="10"/>
      <c r="K55" s="16"/>
      <c r="L55" s="16"/>
      <c r="M55" s="16"/>
      <c r="N55" s="16"/>
      <c r="O55" s="16"/>
      <c r="P55" s="16"/>
      <c r="Q55" s="16"/>
    </row>
    <row r="56" spans="1:17" ht="15" customHeight="1" thickBot="1">
      <c r="A56" s="372">
        <v>4</v>
      </c>
      <c r="B56" s="1215">
        <v>2800</v>
      </c>
      <c r="C56" s="1215"/>
      <c r="D56" s="1244">
        <f>B56+(B56*'Løntabel gældende fra'!$D$7%)</f>
        <v>3037.7507999999998</v>
      </c>
      <c r="E56" s="1245"/>
      <c r="F56" s="1215">
        <f>D56/12</f>
        <v>253.14589999999998</v>
      </c>
      <c r="G56" s="1213"/>
      <c r="H56" s="10"/>
      <c r="K56" s="16"/>
      <c r="L56" s="16"/>
      <c r="M56" s="16"/>
      <c r="N56" s="16"/>
      <c r="O56" s="16"/>
      <c r="P56" s="16"/>
      <c r="Q56" s="16"/>
    </row>
    <row r="57" spans="1:17" ht="25" customHeight="1" thickBot="1">
      <c r="A57" s="46"/>
      <c r="B57" s="48"/>
      <c r="C57" s="48"/>
      <c r="D57" s="48"/>
      <c r="E57" s="48"/>
      <c r="F57" s="49"/>
      <c r="G57" s="49"/>
      <c r="H57" s="49"/>
      <c r="K57" s="16"/>
      <c r="L57" s="16"/>
      <c r="M57" s="16"/>
      <c r="N57" s="16"/>
      <c r="O57" s="16"/>
      <c r="P57" s="16"/>
      <c r="Q57" s="16"/>
    </row>
    <row r="58" spans="1:17" ht="20" customHeight="1">
      <c r="A58" s="1139" t="s">
        <v>474</v>
      </c>
      <c r="B58" s="1140"/>
      <c r="C58" s="1140"/>
      <c r="D58" s="1140"/>
      <c r="E58" s="1140"/>
      <c r="F58" s="1140"/>
      <c r="G58" s="1141"/>
      <c r="H58" s="65"/>
      <c r="K58" s="16"/>
      <c r="L58" s="16"/>
      <c r="M58" s="16"/>
      <c r="N58" s="16"/>
      <c r="O58" s="16"/>
      <c r="P58" s="16"/>
      <c r="Q58" s="16"/>
    </row>
    <row r="59" spans="1:17" ht="20" customHeight="1" thickBot="1">
      <c r="A59" s="1149" t="s">
        <v>345</v>
      </c>
      <c r="B59" s="1150"/>
      <c r="C59" s="1150"/>
      <c r="D59" s="1150"/>
      <c r="E59" s="1150"/>
      <c r="F59" s="1150"/>
      <c r="G59" s="1151"/>
      <c r="H59" s="65"/>
      <c r="K59" s="16"/>
      <c r="L59" s="16"/>
      <c r="M59" s="16"/>
      <c r="N59" s="16"/>
      <c r="O59" s="16"/>
      <c r="P59" s="16"/>
      <c r="Q59" s="16"/>
    </row>
    <row r="60" spans="1:17" ht="16" customHeight="1">
      <c r="A60" s="1166" t="s">
        <v>0</v>
      </c>
      <c r="B60" s="1145" t="s">
        <v>133</v>
      </c>
      <c r="C60" s="1146"/>
      <c r="D60" s="1145" t="s">
        <v>372</v>
      </c>
      <c r="E60" s="1146"/>
      <c r="F60" s="1145" t="s">
        <v>295</v>
      </c>
      <c r="G60" s="1146"/>
      <c r="H60" s="849"/>
      <c r="K60" s="16"/>
      <c r="L60" s="16"/>
      <c r="M60" s="16"/>
      <c r="N60" s="16"/>
      <c r="O60" s="16"/>
      <c r="P60" s="16"/>
      <c r="Q60" s="16"/>
    </row>
    <row r="61" spans="1:17" ht="16" customHeight="1" thickBot="1">
      <c r="A61" s="1167"/>
      <c r="B61" s="1147">
        <f>B52</f>
        <v>40999</v>
      </c>
      <c r="C61" s="1148"/>
      <c r="D61" s="1214" t="str">
        <f>'Løntabel gældende fra'!D1</f>
        <v>01/04/2019</v>
      </c>
      <c r="E61" s="1336"/>
      <c r="F61" s="1214" t="str">
        <f>'Løntabel gældende fra'!D1</f>
        <v>01/04/2019</v>
      </c>
      <c r="G61" s="1336"/>
      <c r="H61" s="849"/>
      <c r="K61" s="16"/>
      <c r="L61" s="16"/>
      <c r="M61" s="16"/>
      <c r="N61" s="16"/>
      <c r="O61" s="16"/>
      <c r="P61" s="16"/>
      <c r="Q61" s="16"/>
    </row>
    <row r="62" spans="1:17" ht="15" customHeight="1">
      <c r="A62" s="370">
        <v>1</v>
      </c>
      <c r="B62" s="1241">
        <v>900</v>
      </c>
      <c r="C62" s="1241"/>
      <c r="D62" s="1135">
        <f>B62+(B62*'Løntabel gældende fra'!$D$7%)</f>
        <v>976.41989999999998</v>
      </c>
      <c r="E62" s="1136"/>
      <c r="F62" s="1241">
        <f>D62/12</f>
        <v>81.368324999999999</v>
      </c>
      <c r="G62" s="1240"/>
      <c r="H62" s="10"/>
      <c r="K62" s="16"/>
      <c r="L62" s="16"/>
      <c r="M62" s="16"/>
      <c r="N62" s="16"/>
      <c r="O62" s="16"/>
      <c r="P62" s="16"/>
      <c r="Q62" s="16"/>
    </row>
    <row r="63" spans="1:17" ht="15" customHeight="1">
      <c r="A63" s="371">
        <v>2</v>
      </c>
      <c r="B63" s="1142">
        <v>900</v>
      </c>
      <c r="C63" s="1142"/>
      <c r="D63" s="1143">
        <f>B63+(B63*'Løntabel gældende fra'!$D$7%)</f>
        <v>976.41989999999998</v>
      </c>
      <c r="E63" s="1144"/>
      <c r="F63" s="1216">
        <f>D63/12</f>
        <v>81.368324999999999</v>
      </c>
      <c r="G63" s="1217"/>
      <c r="H63" s="10"/>
      <c r="K63" s="16"/>
      <c r="L63" s="16"/>
      <c r="M63" s="16"/>
      <c r="N63" s="16"/>
      <c r="O63" s="16"/>
      <c r="P63" s="16"/>
      <c r="Q63" s="16"/>
    </row>
    <row r="64" spans="1:17" ht="15" customHeight="1">
      <c r="A64" s="373">
        <v>3</v>
      </c>
      <c r="B64" s="1142">
        <v>900</v>
      </c>
      <c r="C64" s="1142"/>
      <c r="D64" s="1143">
        <f>B64+(B64*'Løntabel gældende fra'!$D$7%)</f>
        <v>976.41989999999998</v>
      </c>
      <c r="E64" s="1144"/>
      <c r="F64" s="1216">
        <f>D64/12</f>
        <v>81.368324999999999</v>
      </c>
      <c r="G64" s="1217"/>
      <c r="H64" s="10"/>
      <c r="K64" s="16"/>
      <c r="L64" s="16"/>
      <c r="M64" s="16"/>
      <c r="N64" s="16"/>
      <c r="O64" s="16"/>
      <c r="P64" s="16"/>
      <c r="Q64" s="16"/>
    </row>
    <row r="65" spans="1:17" ht="15" customHeight="1" thickBot="1">
      <c r="A65" s="372">
        <v>4</v>
      </c>
      <c r="B65" s="1215">
        <v>900</v>
      </c>
      <c r="C65" s="1215"/>
      <c r="D65" s="1244">
        <f>B65+(B65*'Løntabel gældende fra'!$D$7%)</f>
        <v>976.41989999999998</v>
      </c>
      <c r="E65" s="1245"/>
      <c r="F65" s="1215">
        <f>D65/12</f>
        <v>81.368324999999999</v>
      </c>
      <c r="G65" s="1213"/>
      <c r="H65" s="10"/>
      <c r="K65" s="16"/>
      <c r="L65" s="16"/>
      <c r="M65" s="16"/>
      <c r="N65" s="16"/>
      <c r="O65" s="16"/>
      <c r="P65" s="16"/>
      <c r="Q65" s="16"/>
    </row>
    <row r="66" spans="1:17" ht="25" customHeight="1" thickBot="1">
      <c r="A66" s="849"/>
      <c r="B66" s="48"/>
      <c r="C66" s="48"/>
      <c r="D66" s="48"/>
      <c r="E66" s="48"/>
      <c r="F66" s="49"/>
      <c r="G66" s="49"/>
      <c r="H66" s="49"/>
      <c r="K66" s="16"/>
      <c r="L66" s="16"/>
      <c r="M66" s="16"/>
      <c r="N66" s="16"/>
      <c r="O66" s="16"/>
      <c r="P66" s="16"/>
      <c r="Q66" s="16"/>
    </row>
    <row r="67" spans="1:17" ht="20" customHeight="1">
      <c r="A67" s="1159" t="s">
        <v>333</v>
      </c>
      <c r="B67" s="1160"/>
      <c r="C67" s="1160"/>
      <c r="D67" s="1160"/>
      <c r="E67" s="1160"/>
      <c r="F67" s="1160"/>
      <c r="G67" s="1160"/>
      <c r="H67" s="1160"/>
      <c r="I67" s="1161"/>
    </row>
    <row r="68" spans="1:17" ht="20" customHeight="1" thickBot="1">
      <c r="A68" s="1247" t="s">
        <v>346</v>
      </c>
      <c r="B68" s="1248"/>
      <c r="C68" s="1248"/>
      <c r="D68" s="1248"/>
      <c r="E68" s="1248"/>
      <c r="F68" s="1248"/>
      <c r="G68" s="1248"/>
      <c r="H68" s="1248"/>
      <c r="I68" s="1249"/>
    </row>
    <row r="69" spans="1:17" ht="28" customHeight="1">
      <c r="A69" s="1233" t="s">
        <v>315</v>
      </c>
      <c r="B69" s="1234"/>
      <c r="C69" s="1234"/>
      <c r="D69" s="1234"/>
      <c r="E69" s="1234"/>
      <c r="F69" s="1235"/>
      <c r="G69" s="353" t="s">
        <v>133</v>
      </c>
      <c r="H69" s="353" t="s">
        <v>102</v>
      </c>
      <c r="I69" s="682" t="s">
        <v>295</v>
      </c>
    </row>
    <row r="70" spans="1:17" ht="15" customHeight="1" thickBot="1">
      <c r="A70" s="1233"/>
      <c r="B70" s="1234"/>
      <c r="C70" s="1234"/>
      <c r="D70" s="1234"/>
      <c r="E70" s="1234"/>
      <c r="F70" s="1235"/>
      <c r="G70" s="354">
        <f>C9</f>
        <v>40999</v>
      </c>
      <c r="H70" s="354">
        <f>C9</f>
        <v>40999</v>
      </c>
      <c r="I70" s="354" t="str">
        <f>'Løntabel gældende fra'!$D$1</f>
        <v>01/04/2019</v>
      </c>
    </row>
    <row r="71" spans="1:17" ht="15" customHeight="1" thickBot="1">
      <c r="A71" s="1236"/>
      <c r="B71" s="1237"/>
      <c r="C71" s="1237"/>
      <c r="D71" s="1237"/>
      <c r="E71" s="1237"/>
      <c r="F71" s="1238"/>
      <c r="G71" s="173">
        <v>19300</v>
      </c>
      <c r="H71" s="173">
        <f>G71/12</f>
        <v>1608.3333333333333</v>
      </c>
      <c r="I71" s="174">
        <f>H71+(H71*'Løntabel gældende fra'!$D$7%)</f>
        <v>1744.8985249999998</v>
      </c>
    </row>
    <row r="72" spans="1:17" ht="24" customHeight="1" thickBot="1">
      <c r="A72" s="7"/>
      <c r="B72" s="7"/>
      <c r="C72" s="7" t="s">
        <v>16</v>
      </c>
      <c r="D72" s="7"/>
      <c r="E72" s="7"/>
      <c r="F72" s="7"/>
      <c r="G72" s="7"/>
      <c r="H72" s="7"/>
      <c r="I72" s="7"/>
    </row>
    <row r="73" spans="1:17" ht="20" customHeight="1">
      <c r="A73" s="1159" t="s">
        <v>335</v>
      </c>
      <c r="B73" s="1160"/>
      <c r="C73" s="1160"/>
      <c r="D73" s="1160"/>
      <c r="E73" s="1160"/>
      <c r="F73" s="1160"/>
      <c r="G73" s="1160"/>
      <c r="H73" s="1160"/>
      <c r="I73" s="1161"/>
    </row>
    <row r="74" spans="1:17" ht="20" customHeight="1" thickBot="1">
      <c r="A74" s="1247" t="s">
        <v>334</v>
      </c>
      <c r="B74" s="1248"/>
      <c r="C74" s="1248"/>
      <c r="D74" s="1248"/>
      <c r="E74" s="1248"/>
      <c r="F74" s="1248"/>
      <c r="G74" s="1248"/>
      <c r="H74" s="1248"/>
      <c r="I74" s="1249"/>
    </row>
    <row r="75" spans="1:17" ht="28" customHeight="1">
      <c r="A75" s="1206" t="s">
        <v>509</v>
      </c>
      <c r="B75" s="1207"/>
      <c r="C75" s="1207"/>
      <c r="D75" s="1207"/>
      <c r="E75" s="1207"/>
      <c r="F75" s="1207"/>
      <c r="G75" s="1208"/>
      <c r="H75" s="446" t="s">
        <v>373</v>
      </c>
      <c r="I75" s="681" t="s">
        <v>374</v>
      </c>
    </row>
    <row r="76" spans="1:17" ht="34" customHeight="1" thickBot="1">
      <c r="A76" s="1209"/>
      <c r="B76" s="1210"/>
      <c r="C76" s="1210"/>
      <c r="D76" s="1210"/>
      <c r="E76" s="1210"/>
      <c r="F76" s="1210"/>
      <c r="G76" s="1211"/>
      <c r="H76" s="354">
        <f>C9</f>
        <v>40999</v>
      </c>
      <c r="I76" s="354" t="str">
        <f>'Løntabel gældende fra'!$D$1</f>
        <v>01/04/2019</v>
      </c>
    </row>
    <row r="77" spans="1:17" ht="15" customHeight="1" thickBot="1">
      <c r="A77" s="1321" t="s">
        <v>14</v>
      </c>
      <c r="B77" s="1322"/>
      <c r="C77" s="1322"/>
      <c r="D77" s="1322"/>
      <c r="E77" s="1322"/>
      <c r="F77" s="1322"/>
      <c r="G77" s="1322"/>
      <c r="H77" s="177">
        <v>19</v>
      </c>
      <c r="I77" s="178">
        <f>H77+H77*'Løntabel gældende fra'!$D$7%</f>
        <v>20.613309000000001</v>
      </c>
    </row>
    <row r="78" spans="1:17" ht="24" customHeight="1" thickBot="1">
      <c r="A78" s="7"/>
      <c r="B78" s="7"/>
      <c r="C78" s="7"/>
      <c r="D78" s="7"/>
      <c r="E78" s="7"/>
      <c r="F78" s="7"/>
      <c r="G78" s="7"/>
      <c r="H78" s="7"/>
      <c r="I78" s="7"/>
    </row>
    <row r="79" spans="1:17" ht="20" customHeight="1">
      <c r="A79" s="1159" t="s">
        <v>336</v>
      </c>
      <c r="B79" s="1160"/>
      <c r="C79" s="1160"/>
      <c r="D79" s="1160"/>
      <c r="E79" s="1160"/>
      <c r="F79" s="1160"/>
      <c r="G79" s="1160"/>
      <c r="H79" s="1160"/>
      <c r="I79" s="1161"/>
    </row>
    <row r="80" spans="1:17" ht="20" customHeight="1" thickBot="1">
      <c r="A80" s="1247" t="s">
        <v>334</v>
      </c>
      <c r="B80" s="1248"/>
      <c r="C80" s="1248"/>
      <c r="D80" s="1248"/>
      <c r="E80" s="1248"/>
      <c r="F80" s="1248"/>
      <c r="G80" s="1248"/>
      <c r="H80" s="1248"/>
      <c r="I80" s="1249"/>
    </row>
    <row r="81" spans="1:22" ht="13" customHeight="1">
      <c r="A81" s="1309" t="s">
        <v>484</v>
      </c>
      <c r="B81" s="1310"/>
      <c r="C81" s="1310"/>
      <c r="D81" s="1310"/>
      <c r="E81" s="1310"/>
      <c r="F81" s="1310"/>
      <c r="G81" s="1311"/>
      <c r="H81" s="355" t="s">
        <v>99</v>
      </c>
      <c r="I81" s="356" t="s">
        <v>104</v>
      </c>
    </row>
    <row r="82" spans="1:22" ht="15" customHeight="1" thickBot="1">
      <c r="A82" s="1312"/>
      <c r="B82" s="1313"/>
      <c r="C82" s="1313"/>
      <c r="D82" s="1313"/>
      <c r="E82" s="1313"/>
      <c r="F82" s="1313"/>
      <c r="G82" s="1314"/>
      <c r="H82" s="357">
        <f>C9</f>
        <v>40999</v>
      </c>
      <c r="I82" s="354" t="str">
        <f>'Løntabel gældende fra'!$D$1</f>
        <v>01/04/2019</v>
      </c>
    </row>
    <row r="83" spans="1:22" ht="15" customHeight="1">
      <c r="A83" s="1315" t="s">
        <v>18</v>
      </c>
      <c r="B83" s="1316"/>
      <c r="C83" s="1316"/>
      <c r="D83" s="1316"/>
      <c r="E83" s="1316"/>
      <c r="F83" s="1316"/>
      <c r="G83" s="1316"/>
      <c r="H83" s="215">
        <v>6.59</v>
      </c>
      <c r="I83" s="216">
        <f>H83+H83*'Løntabel gældende fra'!$D$7%</f>
        <v>7.1495634900000002</v>
      </c>
    </row>
    <row r="84" spans="1:22" ht="15" customHeight="1" thickBot="1">
      <c r="A84" s="1317" t="s">
        <v>17</v>
      </c>
      <c r="B84" s="1318"/>
      <c r="C84" s="1318"/>
      <c r="D84" s="1318"/>
      <c r="E84" s="1318"/>
      <c r="F84" s="1318"/>
      <c r="G84" s="1318"/>
      <c r="H84" s="195">
        <v>61.22</v>
      </c>
      <c r="I84" s="217">
        <f>H84+H84*'Løntabel gældende fra'!$D$7%</f>
        <v>66.418251420000004</v>
      </c>
    </row>
    <row r="85" spans="1:22" ht="37" customHeight="1" thickBot="1">
      <c r="A85" s="1156" t="s">
        <v>382</v>
      </c>
      <c r="B85" s="1157"/>
      <c r="C85" s="1157"/>
      <c r="D85" s="1157"/>
      <c r="E85" s="1157"/>
      <c r="F85" s="1157"/>
      <c r="G85" s="1157"/>
      <c r="H85" s="1157"/>
      <c r="I85" s="1158"/>
      <c r="K85" s="16"/>
      <c r="L85" s="16"/>
      <c r="M85" s="16"/>
      <c r="N85" s="16"/>
      <c r="O85" s="16"/>
      <c r="P85" s="16"/>
      <c r="Q85" s="16"/>
    </row>
    <row r="86" spans="1:22" ht="27.75" customHeight="1" thickBot="1">
      <c r="A86" s="1156" t="s">
        <v>383</v>
      </c>
      <c r="B86" s="1157"/>
      <c r="C86" s="1157"/>
      <c r="D86" s="1157"/>
      <c r="E86" s="1157"/>
      <c r="F86" s="1157"/>
      <c r="G86" s="1157"/>
      <c r="H86" s="1157"/>
      <c r="I86" s="1158"/>
      <c r="K86" s="16"/>
      <c r="L86" s="16"/>
      <c r="M86" s="16"/>
      <c r="N86" s="16"/>
      <c r="O86" s="16"/>
      <c r="P86" s="16"/>
      <c r="Q86" s="16"/>
    </row>
    <row r="87" spans="1:22" ht="16.5" customHeight="1" thickBot="1">
      <c r="A87" s="75"/>
      <c r="B87" s="75"/>
      <c r="C87" s="75"/>
      <c r="D87" s="75"/>
      <c r="E87" s="75"/>
      <c r="F87" s="75"/>
      <c r="G87" s="75"/>
      <c r="H87" s="75"/>
      <c r="I87" s="75"/>
      <c r="K87" s="16"/>
      <c r="L87" s="16"/>
      <c r="M87" s="16"/>
      <c r="N87" s="16"/>
      <c r="O87" s="16"/>
      <c r="P87" s="16"/>
      <c r="Q87" s="16"/>
    </row>
    <row r="88" spans="1:22" customFormat="1" ht="24" customHeight="1" thickBot="1">
      <c r="A88" s="1172" t="s">
        <v>70</v>
      </c>
      <c r="B88" s="1173"/>
      <c r="C88" s="1173"/>
      <c r="D88" s="1173"/>
      <c r="E88" s="1173"/>
      <c r="F88" s="1173"/>
      <c r="G88" s="1229"/>
      <c r="H88" s="64"/>
    </row>
    <row r="89" spans="1:22" customFormat="1" ht="24" customHeight="1" thickBot="1">
      <c r="A89" s="1200" t="s">
        <v>71</v>
      </c>
      <c r="B89" s="1201"/>
      <c r="C89" s="1202"/>
      <c r="D89" s="1300">
        <v>40999</v>
      </c>
      <c r="E89" s="1246"/>
      <c r="F89" s="1246" t="str">
        <f>'Løntabel gældende fra'!$D$1</f>
        <v>01/04/2019</v>
      </c>
      <c r="G89" s="1189"/>
      <c r="H89" s="66"/>
    </row>
    <row r="90" spans="1:22" s="596" customFormat="1" ht="24" customHeight="1" thickBot="1">
      <c r="A90" s="1203"/>
      <c r="B90" s="1204"/>
      <c r="C90" s="1205"/>
      <c r="D90" s="1176" t="s">
        <v>337</v>
      </c>
      <c r="E90" s="1177"/>
      <c r="F90" s="1176" t="s">
        <v>337</v>
      </c>
      <c r="G90" s="1177"/>
      <c r="H90" s="597"/>
      <c r="I90" s="597"/>
      <c r="J90" s="597"/>
      <c r="K90" s="597"/>
      <c r="L90" s="597"/>
      <c r="M90" s="597"/>
      <c r="N90" s="597"/>
      <c r="O90" s="597"/>
      <c r="P90" s="597"/>
      <c r="Q90" s="597"/>
      <c r="R90" s="597"/>
      <c r="S90" s="597"/>
      <c r="T90" s="597"/>
      <c r="U90" s="597"/>
      <c r="V90" s="597"/>
    </row>
    <row r="91" spans="1:22" customFormat="1" ht="15" customHeight="1">
      <c r="A91" s="179" t="s">
        <v>72</v>
      </c>
      <c r="B91" s="180"/>
      <c r="C91" s="181"/>
      <c r="D91" s="182">
        <v>236</v>
      </c>
      <c r="E91" s="182">
        <v>334</v>
      </c>
      <c r="F91" s="598">
        <f>D91+D91*'Løntabel gældende fra'!$D$7%</f>
        <v>256.038996</v>
      </c>
      <c r="G91" s="599">
        <f>E91+E91*'Løntabel gældende fra'!$D$7%</f>
        <v>362.360274</v>
      </c>
      <c r="H91" s="59"/>
    </row>
    <row r="92" spans="1:22" customFormat="1" ht="15" customHeight="1" thickBot="1">
      <c r="A92" s="130" t="s">
        <v>74</v>
      </c>
      <c r="B92" s="131"/>
      <c r="C92" s="183"/>
      <c r="D92" s="184">
        <v>170</v>
      </c>
      <c r="E92" s="184">
        <v>269</v>
      </c>
      <c r="F92" s="185">
        <f>D92+D92*'Løntabel gældende fra'!$D$7%</f>
        <v>184.43486999999999</v>
      </c>
      <c r="G92" s="186">
        <f>E92+E92*'Løntabel gældende fra'!$D$7%</f>
        <v>291.84105899999997</v>
      </c>
      <c r="H92" s="59"/>
    </row>
    <row r="93" spans="1:22" customFormat="1" ht="24" customHeight="1" thickBot="1">
      <c r="A93" s="1137" t="s">
        <v>73</v>
      </c>
      <c r="B93" s="1138"/>
      <c r="C93" s="1184"/>
      <c r="D93" s="1190">
        <f>D89</f>
        <v>40999</v>
      </c>
      <c r="E93" s="1191"/>
      <c r="F93" s="1188" t="str">
        <f>'Løntabel gældende fra'!$D$1</f>
        <v>01/04/2019</v>
      </c>
      <c r="G93" s="1189"/>
      <c r="H93" s="66"/>
    </row>
    <row r="94" spans="1:22" s="596" customFormat="1" ht="24" customHeight="1" thickBot="1">
      <c r="A94" s="1185"/>
      <c r="B94" s="1186"/>
      <c r="C94" s="1187"/>
      <c r="D94" s="1176" t="s">
        <v>337</v>
      </c>
      <c r="E94" s="1177"/>
      <c r="F94" s="1176" t="s">
        <v>337</v>
      </c>
      <c r="G94" s="1177"/>
      <c r="H94" s="597"/>
      <c r="I94" s="597"/>
      <c r="J94" s="597"/>
      <c r="K94" s="597"/>
      <c r="L94" s="597"/>
      <c r="M94" s="597"/>
      <c r="N94" s="597"/>
      <c r="O94" s="597"/>
      <c r="P94" s="597"/>
      <c r="Q94" s="597"/>
      <c r="R94" s="597"/>
      <c r="S94" s="597"/>
      <c r="T94" s="597"/>
      <c r="U94" s="597"/>
      <c r="V94" s="597"/>
    </row>
    <row r="95" spans="1:22" customFormat="1" ht="15" customHeight="1">
      <c r="A95" s="179" t="s">
        <v>72</v>
      </c>
      <c r="B95" s="180"/>
      <c r="C95" s="181"/>
      <c r="D95" s="182">
        <v>203</v>
      </c>
      <c r="E95" s="182">
        <v>334</v>
      </c>
      <c r="F95" s="187">
        <f>D95+D95*'Løntabel gældende fra'!$D$7%</f>
        <v>220.23693299999999</v>
      </c>
      <c r="G95" s="188">
        <f>E95+E95*'Løntabel gældende fra'!$D$7%</f>
        <v>362.360274</v>
      </c>
      <c r="H95" s="59"/>
    </row>
    <row r="96" spans="1:22" customFormat="1" ht="15" customHeight="1" thickBot="1">
      <c r="A96" s="589" t="s">
        <v>74</v>
      </c>
      <c r="B96" s="590"/>
      <c r="C96" s="591"/>
      <c r="D96" s="189">
        <v>138</v>
      </c>
      <c r="E96" s="189">
        <v>269</v>
      </c>
      <c r="F96" s="190">
        <f>D96+D96*'Løntabel gældende fra'!$D$7%</f>
        <v>149.71771799999999</v>
      </c>
      <c r="G96" s="191">
        <f>E96+E96*'Løntabel gældende fra'!$D$7%</f>
        <v>291.84105899999997</v>
      </c>
      <c r="H96" s="59"/>
    </row>
    <row r="97" spans="1:15" ht="24" customHeight="1" thickBot="1">
      <c r="A97" s="7"/>
      <c r="B97" s="7"/>
      <c r="C97" s="7"/>
      <c r="D97" s="7"/>
      <c r="E97" s="7"/>
      <c r="F97" s="7"/>
      <c r="G97" s="7"/>
      <c r="H97" s="7"/>
      <c r="I97" s="7"/>
    </row>
    <row r="98" spans="1:15" customFormat="1" ht="24" customHeight="1" thickBot="1">
      <c r="A98" s="1172" t="s">
        <v>61</v>
      </c>
      <c r="B98" s="1173"/>
      <c r="C98" s="1173"/>
      <c r="D98" s="1173"/>
      <c r="E98" s="1173"/>
      <c r="F98" s="1173"/>
      <c r="G98" s="1229"/>
    </row>
    <row r="99" spans="1:15" customFormat="1" ht="16" thickBot="1">
      <c r="A99" s="192"/>
      <c r="B99" s="193"/>
      <c r="C99" s="194"/>
      <c r="D99" s="1222">
        <v>40999</v>
      </c>
      <c r="E99" s="1223"/>
      <c r="F99" s="1164" t="str">
        <f>'Løntabel gældende fra'!$D$1</f>
        <v>01/04/2019</v>
      </c>
      <c r="G99" s="1165"/>
    </row>
    <row r="100" spans="1:15" customFormat="1" ht="16" thickBot="1">
      <c r="A100" s="1301" t="s">
        <v>62</v>
      </c>
      <c r="B100" s="1302"/>
      <c r="C100" s="1302"/>
      <c r="D100" s="1174">
        <v>43.25</v>
      </c>
      <c r="E100" s="1175"/>
      <c r="F100" s="1197">
        <f>D100+D100*'Løntabel gældende fra'!$D$7%</f>
        <v>46.922400750000001</v>
      </c>
      <c r="G100" s="1198"/>
    </row>
    <row r="101" spans="1:15" customFormat="1" ht="42" customHeight="1">
      <c r="A101" s="1194" t="s">
        <v>232</v>
      </c>
      <c r="B101" s="1195"/>
      <c r="C101" s="1196"/>
      <c r="D101" s="1174">
        <v>9.17</v>
      </c>
      <c r="E101" s="1175"/>
      <c r="F101" s="1197">
        <f>D101+D101*'Løntabel gældende fra'!$D$7%</f>
        <v>9.9486338700000001</v>
      </c>
      <c r="G101" s="1198"/>
    </row>
    <row r="102" spans="1:15" customFormat="1" ht="16" thickBot="1">
      <c r="A102" s="71" t="s">
        <v>63</v>
      </c>
      <c r="B102" s="72"/>
      <c r="C102" s="72"/>
      <c r="D102" s="1224">
        <v>4587.3100000000004</v>
      </c>
      <c r="E102" s="1225"/>
      <c r="F102" s="1162">
        <f>D102+D102*'Løntabel gældende fra'!$D$7%</f>
        <v>4976.82307941</v>
      </c>
      <c r="G102" s="1163"/>
    </row>
    <row r="103" spans="1:15" customFormat="1" ht="15">
      <c r="A103" s="82"/>
      <c r="B103" s="82"/>
      <c r="C103" s="82"/>
      <c r="D103" s="61"/>
      <c r="E103" s="102"/>
      <c r="F103" s="59"/>
      <c r="G103" s="59"/>
    </row>
    <row r="104" spans="1:15" ht="12" customHeight="1" thickBot="1">
      <c r="A104" s="103"/>
      <c r="B104" s="104"/>
      <c r="C104" s="104"/>
      <c r="D104" s="104"/>
      <c r="E104" s="104"/>
      <c r="F104" s="59"/>
      <c r="G104" s="59"/>
      <c r="H104" s="7"/>
      <c r="I104" s="7"/>
    </row>
    <row r="105" spans="1:15" ht="20.25" customHeight="1">
      <c r="A105" s="1226" t="s">
        <v>91</v>
      </c>
      <c r="B105" s="1227"/>
      <c r="C105" s="1227"/>
      <c r="D105" s="1227"/>
      <c r="E105" s="1227"/>
      <c r="F105" s="1227"/>
      <c r="G105" s="1227"/>
      <c r="H105" s="1227"/>
      <c r="I105" s="1228"/>
    </row>
    <row r="106" spans="1:15" ht="21" thickBot="1">
      <c r="A106" s="1230" t="str">
        <f>'Løntabel gældende fra'!$D$1</f>
        <v>01/04/2019</v>
      </c>
      <c r="B106" s="1231"/>
      <c r="C106" s="1231"/>
      <c r="D106" s="1231"/>
      <c r="E106" s="1231"/>
      <c r="F106" s="1231"/>
      <c r="G106" s="1231"/>
      <c r="H106" s="1231"/>
      <c r="I106" s="1232"/>
    </row>
    <row r="107" spans="1:15" ht="18" customHeight="1" thickBot="1">
      <c r="A107" s="1172" t="s">
        <v>89</v>
      </c>
      <c r="B107" s="1173"/>
      <c r="C107" s="1173"/>
      <c r="D107" s="1173"/>
      <c r="E107" s="1173"/>
      <c r="F107" s="1160"/>
      <c r="G107" s="1160"/>
      <c r="H107" s="1160"/>
      <c r="I107" s="1161"/>
    </row>
    <row r="108" spans="1:15" ht="16" customHeight="1">
      <c r="A108" s="1155" t="s">
        <v>0</v>
      </c>
      <c r="B108" s="1137" t="s">
        <v>20</v>
      </c>
      <c r="C108" s="1138"/>
      <c r="D108" s="1138"/>
      <c r="E108" s="1138"/>
      <c r="F108" s="1170" t="s">
        <v>456</v>
      </c>
      <c r="G108" s="1171"/>
      <c r="H108" s="1192">
        <v>0.17299999999999999</v>
      </c>
      <c r="I108" s="1193"/>
      <c r="J108" s="3"/>
      <c r="K108" s="3"/>
      <c r="L108" s="3"/>
      <c r="M108" s="4"/>
      <c r="N108" s="4"/>
      <c r="O108" s="4"/>
    </row>
    <row r="109" spans="1:15" ht="16" customHeight="1" thickBot="1">
      <c r="A109" s="1155"/>
      <c r="B109" s="1185"/>
      <c r="C109" s="1186"/>
      <c r="D109" s="1186"/>
      <c r="E109" s="1186"/>
      <c r="F109" s="1219" t="s">
        <v>469</v>
      </c>
      <c r="G109" s="1220"/>
      <c r="H109" s="1220"/>
      <c r="I109" s="1221"/>
      <c r="J109" s="3"/>
      <c r="K109" s="3"/>
      <c r="L109" s="3"/>
      <c r="M109" s="4"/>
      <c r="N109" s="4"/>
      <c r="O109" s="4"/>
    </row>
    <row r="110" spans="1:15">
      <c r="A110" s="170">
        <v>1</v>
      </c>
      <c r="B110" s="1239">
        <f>H10</f>
        <v>24102.021139</v>
      </c>
      <c r="C110" s="1241"/>
      <c r="D110" s="1241"/>
      <c r="E110" s="1240"/>
      <c r="F110" s="1239">
        <f>B110*$H$108</f>
        <v>4169.6496570469999</v>
      </c>
      <c r="G110" s="1241"/>
      <c r="H110" s="1241"/>
      <c r="I110" s="1240"/>
    </row>
    <row r="111" spans="1:15">
      <c r="A111" s="99">
        <v>2</v>
      </c>
      <c r="B111" s="1325">
        <f>H11</f>
        <v>25287.015178749996</v>
      </c>
      <c r="C111" s="1142"/>
      <c r="D111" s="1142"/>
      <c r="E111" s="1326"/>
      <c r="F111" s="1325">
        <f>B111*$H$108</f>
        <v>4374.6536259237491</v>
      </c>
      <c r="G111" s="1142"/>
      <c r="H111" s="1142"/>
      <c r="I111" s="1326"/>
    </row>
    <row r="112" spans="1:15">
      <c r="A112" s="99">
        <v>3</v>
      </c>
      <c r="B112" s="1325">
        <f>H12</f>
        <v>26246.799776750002</v>
      </c>
      <c r="C112" s="1142"/>
      <c r="D112" s="1142"/>
      <c r="E112" s="1326"/>
      <c r="F112" s="1325">
        <f>B112*$H$108</f>
        <v>4540.6963613777498</v>
      </c>
      <c r="G112" s="1142"/>
      <c r="H112" s="1142"/>
      <c r="I112" s="1326"/>
    </row>
    <row r="113" spans="1:10" ht="15" customHeight="1" thickBot="1">
      <c r="A113" s="100">
        <v>4</v>
      </c>
      <c r="B113" s="1212">
        <f>H13</f>
        <v>27941.340349499998</v>
      </c>
      <c r="C113" s="1215"/>
      <c r="D113" s="1215"/>
      <c r="E113" s="1213"/>
      <c r="F113" s="1212">
        <f>B113*$H$108</f>
        <v>4833.8518804634996</v>
      </c>
      <c r="G113" s="1215"/>
      <c r="H113" s="1215"/>
      <c r="I113" s="1213"/>
    </row>
    <row r="114" spans="1:10" ht="18" customHeight="1" thickBot="1">
      <c r="A114" s="1159" t="s">
        <v>90</v>
      </c>
      <c r="B114" s="1160"/>
      <c r="C114" s="1160"/>
      <c r="D114" s="1160"/>
      <c r="E114" s="1160"/>
      <c r="F114" s="1160"/>
      <c r="G114" s="1160"/>
      <c r="H114" s="1160"/>
      <c r="I114" s="1161"/>
    </row>
    <row r="115" spans="1:10" ht="23" customHeight="1">
      <c r="A115" s="1154" t="s">
        <v>0</v>
      </c>
      <c r="B115" s="1166" t="s">
        <v>139</v>
      </c>
      <c r="C115" s="1137" t="s">
        <v>23</v>
      </c>
      <c r="D115" s="1138"/>
      <c r="E115" s="1138"/>
      <c r="F115" s="1137" t="s">
        <v>24</v>
      </c>
      <c r="G115" s="1138"/>
      <c r="H115" s="1168" t="s">
        <v>94</v>
      </c>
      <c r="I115" s="1169"/>
    </row>
    <row r="116" spans="1:10" ht="22.5" customHeight="1" thickBot="1">
      <c r="A116" s="1155"/>
      <c r="B116" s="1167"/>
      <c r="C116" s="1152">
        <f>B52</f>
        <v>40999</v>
      </c>
      <c r="D116" s="1153"/>
      <c r="E116" s="1153"/>
      <c r="F116" s="1152" t="str">
        <f>'Løntabel gældende fra'!$D$1</f>
        <v>01/04/2019</v>
      </c>
      <c r="G116" s="1153"/>
      <c r="H116" s="1258"/>
      <c r="I116" s="1260"/>
    </row>
    <row r="117" spans="1:10" ht="15" customHeight="1" thickBot="1">
      <c r="A117" s="1155"/>
      <c r="B117" s="1167"/>
      <c r="C117" s="1168" t="s">
        <v>87</v>
      </c>
      <c r="D117" s="1169"/>
      <c r="E117" s="752" t="s">
        <v>88</v>
      </c>
      <c r="F117" s="752" t="s">
        <v>87</v>
      </c>
      <c r="G117" s="754" t="s">
        <v>88</v>
      </c>
      <c r="H117" s="1331">
        <v>0.15</v>
      </c>
      <c r="I117" s="1332"/>
    </row>
    <row r="118" spans="1:10">
      <c r="A118" s="145">
        <v>1</v>
      </c>
      <c r="B118" s="395">
        <v>21</v>
      </c>
      <c r="C118" s="1135">
        <f>+'Statens skalatrin'!N66</f>
        <v>241583.32</v>
      </c>
      <c r="D118" s="1136"/>
      <c r="E118" s="751">
        <f>C118/12</f>
        <v>20131.943333333333</v>
      </c>
      <c r="F118" s="226">
        <f>ROUND(C118*(1+'Løntabel gældende fra'!$D$7/100),0)</f>
        <v>262096</v>
      </c>
      <c r="G118" s="750">
        <f>F118/12</f>
        <v>21841.333333333332</v>
      </c>
      <c r="H118" s="1242">
        <f t="shared" ref="H118:H131" si="1">G118*$H$117</f>
        <v>3276.2</v>
      </c>
      <c r="I118" s="1243"/>
      <c r="J118" s="50"/>
    </row>
    <row r="119" spans="1:10">
      <c r="A119" s="758">
        <v>1</v>
      </c>
      <c r="B119" s="759">
        <v>23</v>
      </c>
      <c r="C119" s="1143">
        <f>+'Statens skalatrin'!N72</f>
        <v>250472.55</v>
      </c>
      <c r="D119" s="1144"/>
      <c r="E119" s="196">
        <f t="shared" ref="E119:E131" si="2">C119/12</f>
        <v>20872.712499999998</v>
      </c>
      <c r="F119" s="227">
        <f>ROUND(C119*(1+'Løntabel gældende fra'!$D$7/100),0)</f>
        <v>271740</v>
      </c>
      <c r="G119" s="297">
        <f t="shared" ref="G119:G131" si="3">F119/12</f>
        <v>22645</v>
      </c>
      <c r="H119" s="1143">
        <f t="shared" si="1"/>
        <v>3396.75</v>
      </c>
      <c r="I119" s="1144"/>
    </row>
    <row r="120" spans="1:10">
      <c r="A120" s="758">
        <v>2</v>
      </c>
      <c r="B120" s="759">
        <v>25</v>
      </c>
      <c r="C120" s="1143">
        <f>+'Statens skalatrin'!N78</f>
        <v>259721.7</v>
      </c>
      <c r="D120" s="1144"/>
      <c r="E120" s="196">
        <f t="shared" si="2"/>
        <v>21643.475000000002</v>
      </c>
      <c r="F120" s="227">
        <f>ROUND(C120*(1+'Løntabel gældende fra'!$D$7/100),0)</f>
        <v>281775</v>
      </c>
      <c r="G120" s="297">
        <f t="shared" si="3"/>
        <v>23481.25</v>
      </c>
      <c r="H120" s="1143">
        <f t="shared" si="1"/>
        <v>3522.1875</v>
      </c>
      <c r="I120" s="1144"/>
    </row>
    <row r="121" spans="1:10">
      <c r="A121" s="758">
        <v>2</v>
      </c>
      <c r="B121" s="759">
        <v>27</v>
      </c>
      <c r="C121" s="1143">
        <f>+'Statens skalatrin'!N84</f>
        <v>269459.90000000002</v>
      </c>
      <c r="D121" s="1144"/>
      <c r="E121" s="196">
        <f t="shared" si="2"/>
        <v>22454.991666666669</v>
      </c>
      <c r="F121" s="227">
        <f>ROUND(C121*(1+'Løntabel gældende fra'!$D$7/100),0)</f>
        <v>292340</v>
      </c>
      <c r="G121" s="297">
        <f t="shared" si="3"/>
        <v>24361.666666666668</v>
      </c>
      <c r="H121" s="1143">
        <f t="shared" si="1"/>
        <v>3654.25</v>
      </c>
      <c r="I121" s="1144"/>
    </row>
    <row r="122" spans="1:10">
      <c r="A122" s="758">
        <v>3</v>
      </c>
      <c r="B122" s="759">
        <v>28</v>
      </c>
      <c r="C122" s="1143">
        <f>+'Statens skalatrin'!N87</f>
        <v>274522.23</v>
      </c>
      <c r="D122" s="1144"/>
      <c r="E122" s="196">
        <f t="shared" si="2"/>
        <v>22876.852499999997</v>
      </c>
      <c r="F122" s="227">
        <f>ROUND(C122*(1+'Løntabel gældende fra'!$D$7/100),0)</f>
        <v>297832</v>
      </c>
      <c r="G122" s="297">
        <f t="shared" si="3"/>
        <v>24819.333333333332</v>
      </c>
      <c r="H122" s="1143">
        <f t="shared" si="1"/>
        <v>3722.8999999999996</v>
      </c>
      <c r="I122" s="1144"/>
    </row>
    <row r="123" spans="1:10">
      <c r="A123" s="758">
        <v>3</v>
      </c>
      <c r="B123" s="759">
        <v>29</v>
      </c>
      <c r="C123" s="1143">
        <f>+'Statens skalatrin'!N90</f>
        <v>279714.99</v>
      </c>
      <c r="D123" s="1144"/>
      <c r="E123" s="196">
        <f t="shared" si="2"/>
        <v>23309.5825</v>
      </c>
      <c r="F123" s="227">
        <f>ROUND(C123*(1+'Løntabel gældende fra'!$D$7/100),0)</f>
        <v>303466</v>
      </c>
      <c r="G123" s="297">
        <f t="shared" si="3"/>
        <v>25288.833333333332</v>
      </c>
      <c r="H123" s="1143">
        <f t="shared" si="1"/>
        <v>3793.3249999999998</v>
      </c>
      <c r="I123" s="1144"/>
    </row>
    <row r="124" spans="1:10">
      <c r="A124" s="758">
        <v>3</v>
      </c>
      <c r="B124" s="759">
        <v>30</v>
      </c>
      <c r="C124" s="1143">
        <f>+'Statens skalatrin'!N93</f>
        <v>285044.74</v>
      </c>
      <c r="D124" s="1144"/>
      <c r="E124" s="196">
        <f t="shared" si="2"/>
        <v>23753.728333333333</v>
      </c>
      <c r="F124" s="227">
        <f>ROUND(C124*(1+'Løntabel gældende fra'!$D$7/100),0)</f>
        <v>309248</v>
      </c>
      <c r="G124" s="297">
        <f t="shared" si="3"/>
        <v>25770.666666666668</v>
      </c>
      <c r="H124" s="1143">
        <f t="shared" si="1"/>
        <v>3865.6</v>
      </c>
      <c r="I124" s="1144"/>
    </row>
    <row r="125" spans="1:10">
      <c r="A125" s="758">
        <v>3</v>
      </c>
      <c r="B125" s="759">
        <v>31</v>
      </c>
      <c r="C125" s="1143">
        <f>+'Statens skalatrin'!N96</f>
        <v>290512.64000000001</v>
      </c>
      <c r="D125" s="1144"/>
      <c r="E125" s="196">
        <f t="shared" si="2"/>
        <v>24209.386666666669</v>
      </c>
      <c r="F125" s="227">
        <f>ROUND(C125*(1+'Løntabel gældende fra'!$D$7/100),0)</f>
        <v>315180</v>
      </c>
      <c r="G125" s="297">
        <f t="shared" si="3"/>
        <v>26265</v>
      </c>
      <c r="H125" s="1143">
        <f t="shared" si="1"/>
        <v>3939.75</v>
      </c>
      <c r="I125" s="1144"/>
    </row>
    <row r="126" spans="1:10">
      <c r="A126" s="758">
        <v>28</v>
      </c>
      <c r="B126" s="759">
        <v>28</v>
      </c>
      <c r="C126" s="1143">
        <f>+C122</f>
        <v>274522.23</v>
      </c>
      <c r="D126" s="1144"/>
      <c r="E126" s="196">
        <f t="shared" si="2"/>
        <v>22876.852499999997</v>
      </c>
      <c r="F126" s="227">
        <f>ROUND(C126*(1+'Løntabel gældende fra'!$D$7/100),0)</f>
        <v>297832</v>
      </c>
      <c r="G126" s="297">
        <f t="shared" si="3"/>
        <v>24819.333333333332</v>
      </c>
      <c r="H126" s="1143">
        <f t="shared" si="1"/>
        <v>3722.8999999999996</v>
      </c>
      <c r="I126" s="1144"/>
    </row>
    <row r="127" spans="1:10">
      <c r="A127" s="758">
        <v>29</v>
      </c>
      <c r="B127" s="759">
        <v>29</v>
      </c>
      <c r="C127" s="1143">
        <f>+C123</f>
        <v>279714.99</v>
      </c>
      <c r="D127" s="1144"/>
      <c r="E127" s="196">
        <f t="shared" si="2"/>
        <v>23309.5825</v>
      </c>
      <c r="F127" s="227">
        <f>ROUND(C127*(1+'Løntabel gældende fra'!$D$7/100),0)</f>
        <v>303466</v>
      </c>
      <c r="G127" s="297">
        <f t="shared" si="3"/>
        <v>25288.833333333332</v>
      </c>
      <c r="H127" s="1143">
        <f t="shared" si="1"/>
        <v>3793.3249999999998</v>
      </c>
      <c r="I127" s="1144"/>
    </row>
    <row r="128" spans="1:10">
      <c r="A128" s="758">
        <v>30</v>
      </c>
      <c r="B128" s="759">
        <v>30</v>
      </c>
      <c r="C128" s="1143">
        <f>+C124</f>
        <v>285044.74</v>
      </c>
      <c r="D128" s="1144"/>
      <c r="E128" s="196">
        <f t="shared" si="2"/>
        <v>23753.728333333333</v>
      </c>
      <c r="F128" s="227">
        <f>ROUND(C128*(1+'Løntabel gældende fra'!$D$7/100),0)</f>
        <v>309248</v>
      </c>
      <c r="G128" s="297">
        <f t="shared" si="3"/>
        <v>25770.666666666668</v>
      </c>
      <c r="H128" s="1143">
        <f t="shared" si="1"/>
        <v>3865.6</v>
      </c>
      <c r="I128" s="1144"/>
    </row>
    <row r="129" spans="1:9">
      <c r="A129" s="758">
        <v>31</v>
      </c>
      <c r="B129" s="759">
        <v>31</v>
      </c>
      <c r="C129" s="1143">
        <f>+C125</f>
        <v>290512.64000000001</v>
      </c>
      <c r="D129" s="1144"/>
      <c r="E129" s="196">
        <f t="shared" si="2"/>
        <v>24209.386666666669</v>
      </c>
      <c r="F129" s="227">
        <f>ROUND(C129*(1+'Løntabel gældende fra'!$D$7/100),0)</f>
        <v>315180</v>
      </c>
      <c r="G129" s="297">
        <f t="shared" si="3"/>
        <v>26265</v>
      </c>
      <c r="H129" s="1143">
        <f t="shared" si="1"/>
        <v>3939.75</v>
      </c>
      <c r="I129" s="1144"/>
    </row>
    <row r="130" spans="1:9">
      <c r="A130" s="758">
        <v>32</v>
      </c>
      <c r="B130" s="759">
        <v>32</v>
      </c>
      <c r="C130" s="1143">
        <f>+'Statens skalatrin'!N99</f>
        <v>296125.21000000002</v>
      </c>
      <c r="D130" s="1144"/>
      <c r="E130" s="196">
        <f t="shared" si="2"/>
        <v>24677.100833333334</v>
      </c>
      <c r="F130" s="227">
        <f>ROUND(C130*(1+'Løntabel gældende fra'!$D$7/100),0)</f>
        <v>321269</v>
      </c>
      <c r="G130" s="297">
        <f t="shared" si="3"/>
        <v>26772.416666666668</v>
      </c>
      <c r="H130" s="1143">
        <f t="shared" si="1"/>
        <v>4015.8625000000002</v>
      </c>
      <c r="I130" s="1144"/>
    </row>
    <row r="131" spans="1:9" ht="15" customHeight="1" thickBot="1">
      <c r="A131" s="153">
        <v>33</v>
      </c>
      <c r="B131" s="396">
        <v>33</v>
      </c>
      <c r="C131" s="1244">
        <f>+'Statens skalatrin'!N102</f>
        <v>301881.8</v>
      </c>
      <c r="D131" s="1245"/>
      <c r="E131" s="757">
        <f t="shared" si="2"/>
        <v>25156.816666666666</v>
      </c>
      <c r="F131" s="228">
        <f>ROUND(C131*(1+'Løntabel gældende fra'!$D$7/100),0)</f>
        <v>327515</v>
      </c>
      <c r="G131" s="756">
        <f t="shared" si="3"/>
        <v>27292.916666666668</v>
      </c>
      <c r="H131" s="1244">
        <f t="shared" si="1"/>
        <v>4093.9375</v>
      </c>
      <c r="I131" s="1245"/>
    </row>
    <row r="132" spans="1:9" ht="20" customHeight="1">
      <c r="A132" s="1226" t="s">
        <v>92</v>
      </c>
      <c r="B132" s="1227"/>
      <c r="C132" s="1227"/>
      <c r="D132" s="1227"/>
      <c r="E132" s="1227"/>
      <c r="F132" s="1227"/>
      <c r="G132" s="1227"/>
      <c r="H132" s="1227"/>
      <c r="I132" s="1228"/>
    </row>
    <row r="133" spans="1:9" ht="17.25" customHeight="1">
      <c r="A133" s="1333" t="str">
        <f>'Løntabel gældende fra'!$D$1</f>
        <v>01/04/2019</v>
      </c>
      <c r="B133" s="1334"/>
      <c r="C133" s="1334"/>
      <c r="D133" s="1334"/>
      <c r="E133" s="1334"/>
      <c r="F133" s="1334"/>
      <c r="G133" s="1334"/>
      <c r="H133" s="1334"/>
      <c r="I133" s="1335"/>
    </row>
    <row r="134" spans="1:9" ht="14.25" customHeight="1" thickBot="1">
      <c r="A134" s="1178" t="s">
        <v>89</v>
      </c>
      <c r="B134" s="1179"/>
      <c r="C134" s="1179"/>
      <c r="D134" s="1179"/>
      <c r="E134" s="1179"/>
      <c r="F134" s="1180"/>
      <c r="G134" s="1180"/>
      <c r="H134" s="1180"/>
      <c r="I134" s="1181"/>
    </row>
    <row r="135" spans="1:9">
      <c r="A135" s="1155" t="s">
        <v>0</v>
      </c>
      <c r="B135" s="1137" t="s">
        <v>20</v>
      </c>
      <c r="C135" s="1138"/>
      <c r="D135" s="1138"/>
      <c r="E135" s="1138"/>
      <c r="F135" s="1323" t="s">
        <v>94</v>
      </c>
      <c r="G135" s="1324"/>
      <c r="H135" s="836">
        <v>0.17299999999999999</v>
      </c>
      <c r="I135" s="837"/>
    </row>
    <row r="136" spans="1:9" ht="15" thickBot="1">
      <c r="A136" s="1183"/>
      <c r="B136" s="1185"/>
      <c r="C136" s="1186"/>
      <c r="D136" s="1186"/>
      <c r="E136" s="1186"/>
      <c r="F136" s="1185" t="s">
        <v>469</v>
      </c>
      <c r="G136" s="1186"/>
      <c r="H136" s="1186"/>
      <c r="I136" s="1187"/>
    </row>
    <row r="137" spans="1:9">
      <c r="A137" s="170">
        <v>1</v>
      </c>
      <c r="B137" s="1239">
        <f>E10</f>
        <v>25287.015178749996</v>
      </c>
      <c r="C137" s="1241"/>
      <c r="D137" s="1241"/>
      <c r="E137" s="1240"/>
      <c r="F137" s="1239">
        <f>B137*$H$135</f>
        <v>4374.6536259237491</v>
      </c>
      <c r="G137" s="1241"/>
      <c r="H137" s="1241"/>
      <c r="I137" s="1240"/>
    </row>
    <row r="138" spans="1:9">
      <c r="A138" s="99">
        <v>2</v>
      </c>
      <c r="B138" s="1325">
        <f>E11</f>
        <v>26945.934506999998</v>
      </c>
      <c r="C138" s="1142"/>
      <c r="D138" s="1142"/>
      <c r="E138" s="1326"/>
      <c r="F138" s="1325">
        <f>B138*$H$135</f>
        <v>4661.646669710999</v>
      </c>
      <c r="G138" s="1142"/>
      <c r="H138" s="1142"/>
      <c r="I138" s="1326"/>
    </row>
    <row r="139" spans="1:9">
      <c r="A139" s="99">
        <v>3</v>
      </c>
      <c r="B139" s="1325">
        <f>E12</f>
        <v>29446.202315749997</v>
      </c>
      <c r="C139" s="1142"/>
      <c r="D139" s="1142"/>
      <c r="E139" s="1326"/>
      <c r="F139" s="1325">
        <f>B139*$H$135</f>
        <v>5094.1930006247494</v>
      </c>
      <c r="G139" s="1142"/>
      <c r="H139" s="1142"/>
      <c r="I139" s="1326"/>
    </row>
    <row r="140" spans="1:9" ht="15" thickBot="1">
      <c r="A140" s="100">
        <v>4</v>
      </c>
      <c r="B140" s="1212">
        <f>E13</f>
        <v>31768.725539000003</v>
      </c>
      <c r="C140" s="1215"/>
      <c r="D140" s="1215"/>
      <c r="E140" s="1213"/>
      <c r="F140" s="1212">
        <f>B140*$H$135</f>
        <v>5495.989518247</v>
      </c>
      <c r="G140" s="1215"/>
      <c r="H140" s="1215"/>
      <c r="I140" s="1213"/>
    </row>
    <row r="141" spans="1:9" ht="19" thickBot="1">
      <c r="A141" s="1172" t="s">
        <v>90</v>
      </c>
      <c r="B141" s="1173"/>
      <c r="C141" s="1173"/>
      <c r="D141" s="1173"/>
      <c r="E141" s="1173"/>
      <c r="F141" s="1173"/>
      <c r="G141" s="1173"/>
      <c r="H141" s="1173"/>
      <c r="I141" s="442"/>
    </row>
    <row r="142" spans="1:9">
      <c r="A142" s="1167" t="s">
        <v>105</v>
      </c>
      <c r="B142" s="1167" t="s">
        <v>139</v>
      </c>
      <c r="C142" s="1291" t="s">
        <v>23</v>
      </c>
      <c r="D142" s="1291"/>
      <c r="E142" s="1291"/>
      <c r="F142" s="1319" t="s">
        <v>24</v>
      </c>
      <c r="G142" s="1291"/>
      <c r="H142" s="1168" t="s">
        <v>94</v>
      </c>
      <c r="I142" s="1169"/>
    </row>
    <row r="143" spans="1:9" ht="15" customHeight="1" thickBot="1">
      <c r="A143" s="1167"/>
      <c r="B143" s="1167"/>
      <c r="C143" s="1153">
        <v>40999</v>
      </c>
      <c r="D143" s="1153"/>
      <c r="E143" s="1153"/>
      <c r="F143" s="1152" t="str">
        <f>'Løntabel gældende fra'!$D$1</f>
        <v>01/04/2019</v>
      </c>
      <c r="G143" s="1153"/>
      <c r="H143" s="1258"/>
      <c r="I143" s="1260"/>
    </row>
    <row r="144" spans="1:9" ht="16" thickBot="1">
      <c r="A144" s="1182"/>
      <c r="B144" s="1167"/>
      <c r="C144" s="1320" t="s">
        <v>87</v>
      </c>
      <c r="D144" s="1169"/>
      <c r="E144" s="752" t="s">
        <v>88</v>
      </c>
      <c r="F144" s="753" t="s">
        <v>87</v>
      </c>
      <c r="G144" s="754" t="s">
        <v>88</v>
      </c>
      <c r="H144" s="1327">
        <v>0.15</v>
      </c>
      <c r="I144" s="1328"/>
    </row>
    <row r="145" spans="1:10" ht="19" customHeight="1">
      <c r="A145" s="145">
        <v>1</v>
      </c>
      <c r="B145" s="395">
        <v>24</v>
      </c>
      <c r="C145" s="1135">
        <f>+'Statens skalatrin'!N75</f>
        <v>255037.97</v>
      </c>
      <c r="D145" s="1136"/>
      <c r="E145" s="751">
        <f>C145/12</f>
        <v>21253.164166666666</v>
      </c>
      <c r="F145" s="226">
        <f>ROUND(C145*(1+'Løntabel gældende fra'!$D$7/100),0)</f>
        <v>276693</v>
      </c>
      <c r="G145" s="750">
        <f>F145/12</f>
        <v>23057.75</v>
      </c>
      <c r="H145" s="1242">
        <f t="shared" ref="H145:H159" si="4">G145*$H$144</f>
        <v>3458.6624999999999</v>
      </c>
      <c r="I145" s="1243"/>
    </row>
    <row r="146" spans="1:10" ht="14" customHeight="1">
      <c r="A146" s="758">
        <v>1</v>
      </c>
      <c r="B146" s="759">
        <v>25</v>
      </c>
      <c r="C146" s="1143">
        <f>+'Statens skalatrin'!N78</f>
        <v>259721.7</v>
      </c>
      <c r="D146" s="1144"/>
      <c r="E146" s="196">
        <f t="shared" ref="E146:E159" si="5">C146/12</f>
        <v>21643.475000000002</v>
      </c>
      <c r="F146" s="227">
        <f>ROUND(C146*(1+'Løntabel gældende fra'!$D$7/100),0)</f>
        <v>281775</v>
      </c>
      <c r="G146" s="297">
        <f t="shared" ref="G146:G159" si="6">F146/12</f>
        <v>23481.25</v>
      </c>
      <c r="H146" s="1143">
        <f t="shared" si="4"/>
        <v>3522.1875</v>
      </c>
      <c r="I146" s="1144"/>
      <c r="J146" s="51"/>
    </row>
    <row r="147" spans="1:10">
      <c r="A147" s="758">
        <v>2</v>
      </c>
      <c r="B147" s="759">
        <v>27</v>
      </c>
      <c r="C147" s="1143">
        <f>+'Statens skalatrin'!N84</f>
        <v>269459.90000000002</v>
      </c>
      <c r="D147" s="1144"/>
      <c r="E147" s="196">
        <f t="shared" si="5"/>
        <v>22454.991666666669</v>
      </c>
      <c r="F147" s="227">
        <f>ROUND(C147*(1+'Løntabel gældende fra'!$D$7/100),0)</f>
        <v>292340</v>
      </c>
      <c r="G147" s="297">
        <f t="shared" si="6"/>
        <v>24361.666666666668</v>
      </c>
      <c r="H147" s="1143">
        <f t="shared" si="4"/>
        <v>3654.25</v>
      </c>
      <c r="I147" s="1144"/>
    </row>
    <row r="148" spans="1:10">
      <c r="A148" s="758">
        <v>2</v>
      </c>
      <c r="B148" s="759">
        <v>29</v>
      </c>
      <c r="C148" s="1143">
        <f>+'Statens skalatrin'!N90</f>
        <v>279714.99</v>
      </c>
      <c r="D148" s="1144"/>
      <c r="E148" s="196">
        <f t="shared" si="5"/>
        <v>23309.5825</v>
      </c>
      <c r="F148" s="227">
        <f>ROUND(C148*(1+'Løntabel gældende fra'!$D$7/100),0)</f>
        <v>303466</v>
      </c>
      <c r="G148" s="297">
        <f t="shared" si="6"/>
        <v>25288.833333333332</v>
      </c>
      <c r="H148" s="1143">
        <f t="shared" si="4"/>
        <v>3793.3249999999998</v>
      </c>
      <c r="I148" s="1144"/>
    </row>
    <row r="149" spans="1:10">
      <c r="A149" s="758">
        <v>3</v>
      </c>
      <c r="B149" s="759">
        <v>31</v>
      </c>
      <c r="C149" s="1143">
        <f>+'Statens skalatrin'!N96</f>
        <v>290512.64000000001</v>
      </c>
      <c r="D149" s="1144"/>
      <c r="E149" s="196">
        <f t="shared" si="5"/>
        <v>24209.386666666669</v>
      </c>
      <c r="F149" s="227">
        <f>ROUND(C149*(1+'Løntabel gældende fra'!$D$7/100),0)</f>
        <v>315180</v>
      </c>
      <c r="G149" s="297">
        <f t="shared" si="6"/>
        <v>26265</v>
      </c>
      <c r="H149" s="1143">
        <f t="shared" si="4"/>
        <v>3939.75</v>
      </c>
      <c r="I149" s="1144"/>
    </row>
    <row r="150" spans="1:10">
      <c r="A150" s="758">
        <v>3</v>
      </c>
      <c r="B150" s="759">
        <v>33</v>
      </c>
      <c r="C150" s="1143">
        <f>+'Statens skalatrin'!N102</f>
        <v>301881.8</v>
      </c>
      <c r="D150" s="1144"/>
      <c r="E150" s="196">
        <f t="shared" si="5"/>
        <v>25156.816666666666</v>
      </c>
      <c r="F150" s="227">
        <f>ROUND(C150*(1+'Løntabel gældende fra'!$D$7/100),0)</f>
        <v>327515</v>
      </c>
      <c r="G150" s="297">
        <f t="shared" si="6"/>
        <v>27292.916666666668</v>
      </c>
      <c r="H150" s="1143">
        <f t="shared" si="4"/>
        <v>4093.9375</v>
      </c>
      <c r="I150" s="1144"/>
    </row>
    <row r="151" spans="1:10">
      <c r="A151" s="758">
        <v>3</v>
      </c>
      <c r="B151" s="759">
        <v>35</v>
      </c>
      <c r="C151" s="1143">
        <f>+'Statens skalatrin'!N108</f>
        <v>313854.56</v>
      </c>
      <c r="D151" s="1144"/>
      <c r="E151" s="196">
        <f t="shared" si="5"/>
        <v>26154.546666666665</v>
      </c>
      <c r="F151" s="227">
        <f>ROUND(C151*(1+'Løntabel gældende fra'!$D$7/100),0)</f>
        <v>340504</v>
      </c>
      <c r="G151" s="297">
        <f t="shared" si="6"/>
        <v>28375.333333333332</v>
      </c>
      <c r="H151" s="1143">
        <f t="shared" si="4"/>
        <v>4256.2999999999993</v>
      </c>
      <c r="I151" s="1144"/>
    </row>
    <row r="152" spans="1:10">
      <c r="A152" s="758">
        <v>3</v>
      </c>
      <c r="B152" s="759">
        <v>37</v>
      </c>
      <c r="C152" s="1143">
        <f>+'Statens skalatrin'!N114</f>
        <v>326457.34000000003</v>
      </c>
      <c r="D152" s="1144"/>
      <c r="E152" s="196">
        <f t="shared" si="5"/>
        <v>27204.778333333335</v>
      </c>
      <c r="F152" s="227">
        <f>ROUND(C152*(1+'Løntabel gældende fra'!$D$7/100),0)</f>
        <v>354177</v>
      </c>
      <c r="G152" s="297">
        <f t="shared" si="6"/>
        <v>29514.75</v>
      </c>
      <c r="H152" s="1143">
        <f t="shared" si="4"/>
        <v>4427.2124999999996</v>
      </c>
      <c r="I152" s="1144"/>
    </row>
    <row r="153" spans="1:10">
      <c r="A153" s="758">
        <v>3</v>
      </c>
      <c r="B153" s="759">
        <v>40</v>
      </c>
      <c r="C153" s="1143">
        <f>+'Statens skalatrin'!N123</f>
        <v>347027.46</v>
      </c>
      <c r="D153" s="1144"/>
      <c r="E153" s="196">
        <f t="shared" si="5"/>
        <v>28918.955000000002</v>
      </c>
      <c r="F153" s="227">
        <f>ROUND(C153*(1+'Løntabel gældende fra'!$D$7/100),0)</f>
        <v>376494</v>
      </c>
      <c r="G153" s="297">
        <f t="shared" si="6"/>
        <v>31374.5</v>
      </c>
      <c r="H153" s="1143">
        <f t="shared" si="4"/>
        <v>4706.1750000000002</v>
      </c>
      <c r="I153" s="1144"/>
    </row>
    <row r="154" spans="1:10">
      <c r="A154" s="758">
        <v>35</v>
      </c>
      <c r="B154" s="759">
        <v>35</v>
      </c>
      <c r="C154" s="1143">
        <f>+C151</f>
        <v>313854.56</v>
      </c>
      <c r="D154" s="1144"/>
      <c r="E154" s="196">
        <f t="shared" si="5"/>
        <v>26154.546666666665</v>
      </c>
      <c r="F154" s="227">
        <f>ROUND(C154*(1+'Løntabel gældende fra'!$D$7/100),0)</f>
        <v>340504</v>
      </c>
      <c r="G154" s="297">
        <f t="shared" si="6"/>
        <v>28375.333333333332</v>
      </c>
      <c r="H154" s="1143">
        <f t="shared" si="4"/>
        <v>4256.2999999999993</v>
      </c>
      <c r="I154" s="1144"/>
    </row>
    <row r="155" spans="1:10">
      <c r="A155" s="758">
        <v>36</v>
      </c>
      <c r="B155" s="759">
        <v>36</v>
      </c>
      <c r="C155" s="1143">
        <f>+'Statens skalatrin'!N111</f>
        <v>320074.68</v>
      </c>
      <c r="D155" s="1144"/>
      <c r="E155" s="196">
        <f t="shared" si="5"/>
        <v>26672.89</v>
      </c>
      <c r="F155" s="227">
        <f>ROUND(C155*(1+'Løntabel gældende fra'!$D$7/100),0)</f>
        <v>347253</v>
      </c>
      <c r="G155" s="297">
        <f t="shared" si="6"/>
        <v>28937.75</v>
      </c>
      <c r="H155" s="1143">
        <f t="shared" si="4"/>
        <v>4340.6624999999995</v>
      </c>
      <c r="I155" s="1144"/>
    </row>
    <row r="156" spans="1:10">
      <c r="A156" s="758">
        <v>38</v>
      </c>
      <c r="B156" s="759">
        <v>38</v>
      </c>
      <c r="C156" s="1143">
        <f>+'Statens skalatrin'!N117</f>
        <v>333128.88</v>
      </c>
      <c r="D156" s="1144"/>
      <c r="E156" s="196">
        <f t="shared" si="5"/>
        <v>27760.74</v>
      </c>
      <c r="F156" s="227">
        <f>ROUND(C156*(1+'Løntabel gældende fra'!$D$7/100),0)</f>
        <v>361415</v>
      </c>
      <c r="G156" s="297">
        <f t="shared" si="6"/>
        <v>30117.916666666668</v>
      </c>
      <c r="H156" s="1143">
        <f t="shared" si="4"/>
        <v>4517.6875</v>
      </c>
      <c r="I156" s="1144"/>
    </row>
    <row r="157" spans="1:10">
      <c r="A157" s="758">
        <v>40</v>
      </c>
      <c r="B157" s="759">
        <v>40</v>
      </c>
      <c r="C157" s="1143">
        <f>+'Statens skalatrin'!N123</f>
        <v>347027.46</v>
      </c>
      <c r="D157" s="1144"/>
      <c r="E157" s="196">
        <f t="shared" si="5"/>
        <v>28918.955000000002</v>
      </c>
      <c r="F157" s="227">
        <f>ROUND(C157*(1+'Løntabel gældende fra'!$D$7/100),0)</f>
        <v>376494</v>
      </c>
      <c r="G157" s="297">
        <f t="shared" si="6"/>
        <v>31374.5</v>
      </c>
      <c r="H157" s="1143">
        <f t="shared" si="4"/>
        <v>4706.1750000000002</v>
      </c>
      <c r="I157" s="1144"/>
    </row>
    <row r="158" spans="1:10">
      <c r="A158" s="758">
        <v>41</v>
      </c>
      <c r="B158" s="759">
        <v>41</v>
      </c>
      <c r="C158" s="1143">
        <f>+'Statens skalatrin'!N126</f>
        <v>354249.23</v>
      </c>
      <c r="D158" s="1144"/>
      <c r="E158" s="196">
        <f t="shared" si="5"/>
        <v>29520.769166666665</v>
      </c>
      <c r="F158" s="227">
        <f>ROUND(C158*(1+'Løntabel gældende fra'!$D$7/100),0)</f>
        <v>384329</v>
      </c>
      <c r="G158" s="297">
        <f t="shared" si="6"/>
        <v>32027.416666666668</v>
      </c>
      <c r="H158" s="1143">
        <f t="shared" si="4"/>
        <v>4804.1125000000002</v>
      </c>
      <c r="I158" s="1144"/>
    </row>
    <row r="159" spans="1:10" ht="15" thickBot="1">
      <c r="A159" s="153">
        <v>42</v>
      </c>
      <c r="B159" s="396">
        <v>42</v>
      </c>
      <c r="C159" s="1244">
        <f>+'Statens skalatrin'!N129</f>
        <v>361659.2</v>
      </c>
      <c r="D159" s="1245"/>
      <c r="E159" s="757">
        <f t="shared" si="5"/>
        <v>30138.266666666666</v>
      </c>
      <c r="F159" s="228">
        <f>ROUND(C159*(1+'Løntabel gældende fra'!$D$7/100),0)</f>
        <v>392368</v>
      </c>
      <c r="G159" s="756">
        <f t="shared" si="6"/>
        <v>32697.333333333332</v>
      </c>
      <c r="H159" s="1244">
        <f t="shared" si="4"/>
        <v>4904.5999999999995</v>
      </c>
      <c r="I159" s="1245"/>
    </row>
    <row r="160" spans="1:10">
      <c r="A160" s="1329" t="s">
        <v>503</v>
      </c>
      <c r="B160" s="1329"/>
      <c r="C160" s="1329"/>
      <c r="D160" s="1329"/>
      <c r="E160" s="1329"/>
      <c r="F160" s="1329"/>
      <c r="G160" s="1329"/>
      <c r="H160" s="1329"/>
      <c r="I160" s="1329"/>
    </row>
    <row r="161" spans="1:9" ht="15" hidden="1" customHeight="1">
      <c r="A161" s="1330"/>
      <c r="B161" s="1330"/>
      <c r="C161" s="1330"/>
      <c r="D161" s="1330"/>
      <c r="E161" s="1330"/>
      <c r="F161" s="1330"/>
      <c r="G161" s="1330"/>
      <c r="H161" s="1330"/>
      <c r="I161" s="1330"/>
    </row>
    <row r="162" spans="1:9" s="76" customFormat="1" ht="15.75" customHeight="1">
      <c r="A162" s="1330"/>
      <c r="B162" s="1330"/>
      <c r="C162" s="1330"/>
      <c r="D162" s="1330"/>
      <c r="E162" s="1330"/>
      <c r="F162" s="1330"/>
      <c r="G162" s="1330"/>
      <c r="H162" s="1330"/>
      <c r="I162" s="1330"/>
    </row>
    <row r="163" spans="1:9" s="76" customFormat="1" ht="15">
      <c r="A163" s="1330"/>
      <c r="B163" s="1330"/>
      <c r="C163" s="1330"/>
      <c r="D163" s="1330"/>
      <c r="E163" s="1330"/>
      <c r="F163" s="1330"/>
      <c r="G163" s="1330"/>
      <c r="H163" s="1330"/>
      <c r="I163" s="1330"/>
    </row>
    <row r="164" spans="1:9" s="76" customFormat="1" ht="15">
      <c r="A164" s="1330"/>
      <c r="B164" s="1330"/>
      <c r="C164" s="1330"/>
      <c r="D164" s="1330"/>
      <c r="E164" s="1330"/>
      <c r="F164" s="1330"/>
      <c r="G164" s="1330"/>
      <c r="H164" s="1330"/>
      <c r="I164" s="1330"/>
    </row>
    <row r="165" spans="1:9" s="76" customFormat="1" ht="15">
      <c r="A165" s="1330"/>
      <c r="B165" s="1330"/>
      <c r="C165" s="1330"/>
      <c r="D165" s="1330"/>
      <c r="E165" s="1330"/>
      <c r="F165" s="1330"/>
      <c r="G165" s="1330"/>
      <c r="H165" s="1330"/>
      <c r="I165" s="1330"/>
    </row>
    <row r="166" spans="1:9" s="79" customFormat="1" ht="1" customHeight="1">
      <c r="A166" s="1299"/>
      <c r="B166" s="1299"/>
      <c r="C166" s="1299"/>
      <c r="D166" s="1299"/>
      <c r="E166" s="1299"/>
      <c r="F166" s="1299"/>
      <c r="G166" s="1299"/>
      <c r="H166" s="1299"/>
      <c r="I166" s="76"/>
    </row>
    <row r="167" spans="1:9" s="76" customFormat="1" ht="15">
      <c r="A167" s="82"/>
      <c r="B167" s="82"/>
      <c r="C167" s="82"/>
      <c r="D167" s="83"/>
      <c r="E167" s="81"/>
    </row>
    <row r="168" spans="1:9" s="76" customFormat="1" ht="15">
      <c r="A168" s="82"/>
      <c r="B168" s="82"/>
      <c r="C168" s="82"/>
      <c r="D168" s="84"/>
      <c r="E168" s="85"/>
    </row>
    <row r="169" spans="1:9" s="76" customFormat="1" ht="15">
      <c r="A169" s="7"/>
      <c r="B169" s="7"/>
      <c r="C169" s="7"/>
      <c r="D169" s="7"/>
      <c r="E169" s="7"/>
      <c r="F169" s="7"/>
      <c r="G169" s="7"/>
      <c r="H169" s="7"/>
      <c r="I169" s="7"/>
    </row>
    <row r="170" spans="1:9">
      <c r="A170" s="7"/>
      <c r="B170" s="7"/>
      <c r="C170" s="7"/>
      <c r="D170" s="7"/>
      <c r="E170" s="7"/>
      <c r="F170" s="7"/>
      <c r="G170" s="7"/>
      <c r="H170" s="7"/>
      <c r="I170" s="7"/>
    </row>
    <row r="171" spans="1:9">
      <c r="A171" s="7"/>
      <c r="B171" s="7"/>
      <c r="C171" s="7"/>
      <c r="D171" s="7"/>
      <c r="E171" s="7"/>
      <c r="F171" s="7"/>
      <c r="G171" s="7"/>
      <c r="H171" s="7"/>
      <c r="I171" s="7"/>
    </row>
    <row r="172" spans="1:9">
      <c r="A172" s="7"/>
      <c r="B172" s="7"/>
      <c r="C172" s="7"/>
      <c r="D172" s="7"/>
      <c r="E172" s="7"/>
      <c r="F172" s="7"/>
      <c r="G172" s="7"/>
      <c r="H172" s="7"/>
      <c r="I172" s="7"/>
    </row>
    <row r="173" spans="1:9">
      <c r="A173" s="7"/>
      <c r="B173" s="7"/>
      <c r="C173" s="7"/>
      <c r="D173" s="7"/>
      <c r="E173" s="7"/>
      <c r="F173" s="7"/>
      <c r="G173" s="7"/>
      <c r="H173" s="7"/>
      <c r="I173" s="7"/>
    </row>
    <row r="174" spans="1:9">
      <c r="A174" s="7"/>
      <c r="B174" s="7"/>
      <c r="C174" s="7"/>
      <c r="D174" s="7"/>
      <c r="E174" s="7"/>
      <c r="F174" s="7"/>
      <c r="G174" s="7"/>
      <c r="H174" s="7"/>
      <c r="I174" s="7"/>
    </row>
    <row r="175" spans="1:9">
      <c r="A175" s="7"/>
      <c r="B175" s="7"/>
      <c r="C175" s="7"/>
      <c r="D175" s="7"/>
      <c r="E175" s="7"/>
      <c r="F175" s="7"/>
      <c r="G175" s="7"/>
      <c r="H175" s="7"/>
      <c r="I175" s="7"/>
    </row>
    <row r="176" spans="1:9">
      <c r="A176" s="7"/>
      <c r="B176" s="7"/>
      <c r="C176" s="7"/>
      <c r="D176" s="7"/>
      <c r="E176" s="7"/>
      <c r="F176" s="7"/>
      <c r="G176" s="7"/>
      <c r="H176" s="7"/>
      <c r="I176" s="7"/>
    </row>
    <row r="177" spans="1:9">
      <c r="A177" s="7"/>
      <c r="B177" s="7"/>
      <c r="C177" s="7"/>
      <c r="D177" s="7"/>
      <c r="E177" s="7"/>
      <c r="F177" s="7"/>
      <c r="G177" s="7"/>
      <c r="H177" s="7"/>
      <c r="I177" s="7"/>
    </row>
    <row r="178" spans="1:9">
      <c r="A178" s="7"/>
      <c r="B178" s="7"/>
      <c r="C178" s="7"/>
      <c r="D178" s="7"/>
      <c r="E178" s="7"/>
      <c r="F178" s="7"/>
      <c r="G178" s="7"/>
      <c r="H178" s="7"/>
      <c r="I178" s="7"/>
    </row>
    <row r="179" spans="1:9">
      <c r="A179" s="7"/>
      <c r="B179" s="7"/>
      <c r="C179" s="7"/>
      <c r="D179" s="7"/>
      <c r="E179" s="7"/>
      <c r="F179" s="7"/>
      <c r="G179" s="7"/>
      <c r="H179" s="7"/>
      <c r="I179" s="7"/>
    </row>
    <row r="180" spans="1:9">
      <c r="A180" s="7"/>
      <c r="B180" s="7"/>
      <c r="C180" s="7"/>
      <c r="D180" s="7"/>
      <c r="E180" s="7"/>
      <c r="F180" s="7"/>
      <c r="G180" s="7"/>
      <c r="H180" s="7"/>
      <c r="I180" s="7"/>
    </row>
    <row r="181" spans="1:9">
      <c r="A181" s="7"/>
      <c r="B181" s="7"/>
      <c r="C181" s="7"/>
      <c r="D181" s="7"/>
      <c r="E181" s="7"/>
      <c r="F181" s="7"/>
      <c r="G181" s="7"/>
      <c r="H181" s="7"/>
      <c r="I181" s="7"/>
    </row>
    <row r="182" spans="1:9">
      <c r="A182" s="7"/>
      <c r="B182" s="7"/>
      <c r="C182" s="7"/>
      <c r="D182" s="7"/>
      <c r="E182" s="7"/>
      <c r="F182" s="7"/>
      <c r="G182" s="7"/>
      <c r="H182" s="7"/>
      <c r="I182" s="7"/>
    </row>
    <row r="183" spans="1:9">
      <c r="A183" s="7"/>
      <c r="B183" s="7"/>
      <c r="C183" s="7"/>
      <c r="D183" s="7"/>
      <c r="E183" s="7"/>
      <c r="F183" s="7"/>
      <c r="G183" s="7"/>
      <c r="H183" s="7"/>
      <c r="I183" s="7"/>
    </row>
    <row r="184" spans="1:9">
      <c r="A184" s="7"/>
      <c r="B184" s="7"/>
      <c r="C184" s="7"/>
      <c r="D184" s="7"/>
      <c r="E184" s="7"/>
      <c r="F184" s="7"/>
      <c r="G184" s="7"/>
      <c r="H184" s="7"/>
      <c r="I184" s="7"/>
    </row>
    <row r="185" spans="1:9">
      <c r="A185" s="7"/>
      <c r="B185" s="7"/>
      <c r="C185" s="7"/>
      <c r="D185" s="7"/>
      <c r="E185" s="7"/>
      <c r="F185" s="7"/>
      <c r="G185" s="7"/>
      <c r="H185" s="7"/>
      <c r="I185" s="7"/>
    </row>
    <row r="186" spans="1:9">
      <c r="A186" s="7"/>
      <c r="B186" s="7"/>
      <c r="C186" s="7"/>
      <c r="D186" s="7"/>
      <c r="E186" s="7"/>
      <c r="F186" s="7"/>
      <c r="G186" s="7"/>
      <c r="H186" s="7"/>
      <c r="I186" s="7"/>
    </row>
    <row r="187" spans="1:9">
      <c r="A187" s="7"/>
      <c r="B187" s="7"/>
      <c r="C187" s="7"/>
      <c r="D187" s="7"/>
      <c r="E187" s="7"/>
      <c r="F187" s="7"/>
      <c r="G187" s="7"/>
      <c r="H187" s="7"/>
      <c r="I187" s="7"/>
    </row>
    <row r="188" spans="1:9">
      <c r="A188" s="7"/>
      <c r="B188" s="7"/>
      <c r="C188" s="7"/>
      <c r="D188" s="7"/>
      <c r="E188" s="7"/>
      <c r="F188" s="7"/>
      <c r="G188" s="7"/>
      <c r="H188" s="7"/>
      <c r="I188" s="7"/>
    </row>
    <row r="189" spans="1:9">
      <c r="A189" s="7"/>
      <c r="B189" s="7"/>
      <c r="C189" s="7"/>
      <c r="D189" s="7"/>
      <c r="E189" s="7"/>
      <c r="F189" s="7"/>
      <c r="G189" s="7"/>
      <c r="H189" s="7"/>
      <c r="I189" s="7"/>
    </row>
    <row r="190" spans="1:9">
      <c r="A190" s="7"/>
      <c r="B190" s="7"/>
      <c r="C190" s="7"/>
      <c r="D190" s="7"/>
      <c r="E190" s="7"/>
      <c r="F190" s="7"/>
      <c r="G190" s="7"/>
      <c r="H190" s="7"/>
      <c r="I190" s="7"/>
    </row>
    <row r="191" spans="1:9">
      <c r="A191" s="7"/>
      <c r="B191" s="7"/>
      <c r="C191" s="7"/>
      <c r="D191" s="7"/>
      <c r="E191" s="7"/>
      <c r="F191" s="7"/>
      <c r="G191" s="7"/>
      <c r="H191" s="7"/>
      <c r="I191" s="7"/>
    </row>
    <row r="192" spans="1:9">
      <c r="A192" s="7"/>
      <c r="B192" s="7"/>
      <c r="C192" s="7"/>
      <c r="D192" s="7"/>
      <c r="E192" s="7"/>
      <c r="F192" s="7"/>
      <c r="G192" s="7"/>
      <c r="H192" s="7"/>
      <c r="I192" s="7"/>
    </row>
    <row r="193" spans="1:9">
      <c r="A193" s="7"/>
      <c r="B193" s="7"/>
      <c r="C193" s="7"/>
      <c r="D193" s="7"/>
      <c r="E193" s="7"/>
      <c r="F193" s="7"/>
      <c r="G193" s="7"/>
      <c r="H193" s="7"/>
      <c r="I193" s="7"/>
    </row>
    <row r="194" spans="1:9">
      <c r="A194" s="7"/>
      <c r="B194" s="7"/>
      <c r="C194" s="7"/>
      <c r="D194" s="7"/>
      <c r="E194" s="7"/>
      <c r="F194" s="7"/>
      <c r="G194" s="7"/>
      <c r="H194" s="7"/>
      <c r="I194" s="7"/>
    </row>
    <row r="195" spans="1:9">
      <c r="A195" s="7"/>
      <c r="B195" s="7"/>
      <c r="C195" s="7"/>
      <c r="D195" s="7"/>
      <c r="E195" s="7"/>
      <c r="F195" s="7"/>
      <c r="G195" s="7"/>
      <c r="H195" s="7"/>
      <c r="I195" s="7"/>
    </row>
    <row r="196" spans="1:9">
      <c r="A196" s="7"/>
      <c r="B196" s="7"/>
      <c r="C196" s="7"/>
      <c r="D196" s="7"/>
      <c r="E196" s="7"/>
      <c r="F196" s="7"/>
      <c r="G196" s="7"/>
      <c r="H196" s="7"/>
      <c r="I196" s="7"/>
    </row>
    <row r="197" spans="1:9">
      <c r="A197" s="7"/>
      <c r="B197" s="7"/>
      <c r="C197" s="7"/>
      <c r="D197" s="7"/>
      <c r="E197" s="7"/>
      <c r="F197" s="7"/>
      <c r="G197" s="7"/>
      <c r="H197" s="7"/>
      <c r="I197" s="7"/>
    </row>
    <row r="198" spans="1:9">
      <c r="A198" s="7"/>
      <c r="B198" s="7"/>
      <c r="C198" s="7"/>
      <c r="D198" s="7"/>
      <c r="E198" s="7"/>
      <c r="F198" s="7"/>
      <c r="G198" s="7"/>
      <c r="H198" s="7"/>
      <c r="I198" s="7"/>
    </row>
    <row r="199" spans="1:9">
      <c r="A199" s="7"/>
      <c r="B199" s="7"/>
      <c r="C199" s="7"/>
      <c r="D199" s="7"/>
      <c r="E199" s="7"/>
      <c r="F199" s="7"/>
      <c r="G199" s="7"/>
      <c r="H199" s="7"/>
      <c r="I199" s="7"/>
    </row>
    <row r="200" spans="1:9">
      <c r="A200" s="7"/>
      <c r="B200" s="7"/>
      <c r="C200" s="7"/>
      <c r="D200" s="7"/>
      <c r="E200" s="7"/>
      <c r="F200" s="7"/>
      <c r="G200" s="7"/>
      <c r="H200" s="7"/>
      <c r="I200" s="7"/>
    </row>
    <row r="201" spans="1:9">
      <c r="A201" s="7"/>
      <c r="B201" s="7"/>
      <c r="C201" s="7"/>
      <c r="D201" s="7"/>
      <c r="E201" s="7"/>
      <c r="F201" s="7"/>
      <c r="G201" s="7"/>
      <c r="H201" s="7"/>
      <c r="I201" s="7"/>
    </row>
    <row r="202" spans="1:9">
      <c r="A202" s="7"/>
      <c r="B202" s="7"/>
      <c r="C202" s="7"/>
      <c r="D202" s="7"/>
      <c r="E202" s="7"/>
      <c r="F202" s="7"/>
      <c r="G202" s="7"/>
      <c r="H202" s="7"/>
      <c r="I202" s="7"/>
    </row>
    <row r="203" spans="1:9">
      <c r="A203" s="7"/>
      <c r="B203" s="7"/>
      <c r="C203" s="7"/>
      <c r="D203" s="7"/>
      <c r="E203" s="7"/>
      <c r="F203" s="7"/>
      <c r="G203" s="7"/>
      <c r="H203" s="7"/>
      <c r="I203" s="7"/>
    </row>
    <row r="204" spans="1:9">
      <c r="A204" s="7"/>
      <c r="B204" s="7"/>
      <c r="C204" s="7"/>
      <c r="D204" s="7"/>
      <c r="E204" s="7"/>
      <c r="F204" s="7"/>
      <c r="G204" s="7"/>
      <c r="H204" s="7"/>
      <c r="I204" s="7"/>
    </row>
    <row r="205" spans="1:9">
      <c r="A205" s="7"/>
      <c r="B205" s="7"/>
      <c r="C205" s="7"/>
      <c r="D205" s="7"/>
      <c r="E205" s="7"/>
      <c r="F205" s="7"/>
      <c r="G205" s="7"/>
      <c r="H205" s="7"/>
      <c r="I205" s="7"/>
    </row>
    <row r="206" spans="1:9">
      <c r="A206" s="7"/>
      <c r="B206" s="7"/>
      <c r="C206" s="7"/>
      <c r="D206" s="7"/>
      <c r="E206" s="7"/>
      <c r="F206" s="7"/>
      <c r="G206" s="7"/>
      <c r="H206" s="7"/>
      <c r="I206" s="7"/>
    </row>
    <row r="207" spans="1:9">
      <c r="A207" s="7"/>
      <c r="B207" s="7"/>
      <c r="C207" s="7"/>
      <c r="D207" s="7"/>
      <c r="E207" s="7"/>
      <c r="F207" s="7"/>
      <c r="G207" s="7"/>
      <c r="H207" s="7"/>
      <c r="I207" s="7"/>
    </row>
    <row r="208" spans="1:9">
      <c r="A208" s="7"/>
      <c r="B208" s="7"/>
      <c r="C208" s="7"/>
      <c r="D208" s="7"/>
      <c r="E208" s="7"/>
      <c r="F208" s="7"/>
      <c r="G208" s="7"/>
      <c r="H208" s="7"/>
      <c r="I208" s="7"/>
    </row>
    <row r="209" spans="1:9">
      <c r="A209" s="7"/>
      <c r="B209" s="7"/>
      <c r="C209" s="7"/>
      <c r="D209" s="7"/>
      <c r="E209" s="7"/>
      <c r="F209" s="7"/>
      <c r="G209" s="7"/>
      <c r="H209" s="7"/>
      <c r="I209" s="7"/>
    </row>
    <row r="210" spans="1:9">
      <c r="A210" s="7"/>
      <c r="B210" s="7"/>
      <c r="C210" s="7"/>
      <c r="D210" s="7"/>
      <c r="E210" s="7"/>
      <c r="F210" s="7"/>
      <c r="G210" s="7"/>
      <c r="H210" s="7"/>
      <c r="I210" s="7"/>
    </row>
    <row r="211" spans="1:9">
      <c r="A211" s="1"/>
      <c r="B211" s="1"/>
      <c r="C211" s="1"/>
      <c r="D211" s="1"/>
      <c r="E211" s="1"/>
      <c r="F211" s="1"/>
      <c r="G211" s="1"/>
      <c r="H211" s="1"/>
      <c r="I211" s="1"/>
    </row>
    <row r="212" spans="1:9">
      <c r="A212" s="1"/>
      <c r="B212" s="1"/>
      <c r="C212" s="1"/>
      <c r="D212" s="1"/>
      <c r="E212" s="1"/>
      <c r="F212" s="1"/>
      <c r="G212" s="1"/>
      <c r="H212" s="1"/>
      <c r="I212" s="1"/>
    </row>
    <row r="213" spans="1:9">
      <c r="A213" s="1"/>
      <c r="B213" s="1"/>
      <c r="C213" s="1"/>
      <c r="D213" s="1"/>
      <c r="E213" s="1"/>
      <c r="F213" s="1"/>
      <c r="G213" s="1"/>
      <c r="H213" s="1"/>
      <c r="I213" s="1"/>
    </row>
    <row r="214" spans="1:9">
      <c r="A214" s="1"/>
      <c r="B214" s="1"/>
      <c r="C214" s="1"/>
      <c r="D214" s="1"/>
      <c r="E214" s="1"/>
      <c r="F214" s="1"/>
      <c r="G214" s="1"/>
      <c r="H214" s="1"/>
      <c r="I214" s="1"/>
    </row>
  </sheetData>
  <sheetProtection sheet="1" objects="1" scenarios="1"/>
  <mergeCells count="241">
    <mergeCell ref="D64:E64"/>
    <mergeCell ref="F64:G64"/>
    <mergeCell ref="B65:C65"/>
    <mergeCell ref="D65:E65"/>
    <mergeCell ref="F65:G65"/>
    <mergeCell ref="F60:G60"/>
    <mergeCell ref="B61:C61"/>
    <mergeCell ref="D61:E61"/>
    <mergeCell ref="F61:G61"/>
    <mergeCell ref="B62:C62"/>
    <mergeCell ref="D62:E62"/>
    <mergeCell ref="F62:G62"/>
    <mergeCell ref="B63:C63"/>
    <mergeCell ref="D63:E63"/>
    <mergeCell ref="F63:G63"/>
    <mergeCell ref="F110:I110"/>
    <mergeCell ref="F111:I111"/>
    <mergeCell ref="F112:I112"/>
    <mergeCell ref="F113:I113"/>
    <mergeCell ref="B110:E110"/>
    <mergeCell ref="B111:E111"/>
    <mergeCell ref="B112:E112"/>
    <mergeCell ref="B113:E113"/>
    <mergeCell ref="C116:E116"/>
    <mergeCell ref="A114:I114"/>
    <mergeCell ref="H115:I116"/>
    <mergeCell ref="H117:I117"/>
    <mergeCell ref="H118:I118"/>
    <mergeCell ref="H119:I119"/>
    <mergeCell ref="H150:I150"/>
    <mergeCell ref="H131:I131"/>
    <mergeCell ref="A132:I132"/>
    <mergeCell ref="A133:I133"/>
    <mergeCell ref="H127:I127"/>
    <mergeCell ref="C145:D145"/>
    <mergeCell ref="H126:I126"/>
    <mergeCell ref="C119:D119"/>
    <mergeCell ref="C130:D130"/>
    <mergeCell ref="C131:D131"/>
    <mergeCell ref="C125:D125"/>
    <mergeCell ref="C126:D126"/>
    <mergeCell ref="C127:D127"/>
    <mergeCell ref="B138:E138"/>
    <mergeCell ref="B139:E139"/>
    <mergeCell ref="C129:D129"/>
    <mergeCell ref="C120:D120"/>
    <mergeCell ref="C122:D122"/>
    <mergeCell ref="C123:D123"/>
    <mergeCell ref="C124:D124"/>
    <mergeCell ref="C146:D146"/>
    <mergeCell ref="A160:I165"/>
    <mergeCell ref="H158:I158"/>
    <mergeCell ref="H159:I159"/>
    <mergeCell ref="C159:D159"/>
    <mergeCell ref="C151:D151"/>
    <mergeCell ref="C152:D152"/>
    <mergeCell ref="C154:D154"/>
    <mergeCell ref="C155:D155"/>
    <mergeCell ref="C156:D156"/>
    <mergeCell ref="C157:D157"/>
    <mergeCell ref="C153:D153"/>
    <mergeCell ref="C158:D158"/>
    <mergeCell ref="H151:I151"/>
    <mergeCell ref="H152:I152"/>
    <mergeCell ref="H153:I153"/>
    <mergeCell ref="H154:I154"/>
    <mergeCell ref="H155:I155"/>
    <mergeCell ref="H156:I156"/>
    <mergeCell ref="H157:I157"/>
    <mergeCell ref="C147:D147"/>
    <mergeCell ref="C148:D148"/>
    <mergeCell ref="C149:D149"/>
    <mergeCell ref="C150:D150"/>
    <mergeCell ref="F135:G135"/>
    <mergeCell ref="F136:I136"/>
    <mergeCell ref="B135:E136"/>
    <mergeCell ref="B137:E137"/>
    <mergeCell ref="B140:E140"/>
    <mergeCell ref="F137:I137"/>
    <mergeCell ref="F138:I138"/>
    <mergeCell ref="F139:I139"/>
    <mergeCell ref="F140:I140"/>
    <mergeCell ref="H142:I143"/>
    <mergeCell ref="H144:I144"/>
    <mergeCell ref="H145:I145"/>
    <mergeCell ref="H146:I146"/>
    <mergeCell ref="H147:I147"/>
    <mergeCell ref="H148:I148"/>
    <mergeCell ref="H149:I149"/>
    <mergeCell ref="B142:B144"/>
    <mergeCell ref="C142:E142"/>
    <mergeCell ref="F142:G142"/>
    <mergeCell ref="A166:H166"/>
    <mergeCell ref="A51:A52"/>
    <mergeCell ref="D89:E89"/>
    <mergeCell ref="A100:C100"/>
    <mergeCell ref="F100:G100"/>
    <mergeCell ref="A26:I26"/>
    <mergeCell ref="B56:C56"/>
    <mergeCell ref="D56:E56"/>
    <mergeCell ref="B46:C46"/>
    <mergeCell ref="B55:C55"/>
    <mergeCell ref="D55:E55"/>
    <mergeCell ref="F51:G51"/>
    <mergeCell ref="F52:G52"/>
    <mergeCell ref="F53:G53"/>
    <mergeCell ref="A33:I33"/>
    <mergeCell ref="C27:E27"/>
    <mergeCell ref="A81:G82"/>
    <mergeCell ref="A83:G83"/>
    <mergeCell ref="A84:G84"/>
    <mergeCell ref="F34:I34"/>
    <mergeCell ref="C144:D144"/>
    <mergeCell ref="B47:C47"/>
    <mergeCell ref="H120:I120"/>
    <mergeCell ref="A77:G77"/>
    <mergeCell ref="N4:V4"/>
    <mergeCell ref="A3:I3"/>
    <mergeCell ref="A25:I25"/>
    <mergeCell ref="A5:H5"/>
    <mergeCell ref="F17:H17"/>
    <mergeCell ref="B7:B9"/>
    <mergeCell ref="A7:A9"/>
    <mergeCell ref="A34:A35"/>
    <mergeCell ref="A15:H15"/>
    <mergeCell ref="C18:C19"/>
    <mergeCell ref="F18:F19"/>
    <mergeCell ref="F7:H7"/>
    <mergeCell ref="B34:E34"/>
    <mergeCell ref="A31:I31"/>
    <mergeCell ref="A6:H6"/>
    <mergeCell ref="A16:H16"/>
    <mergeCell ref="A32:I32"/>
    <mergeCell ref="F29:I29"/>
    <mergeCell ref="A1:I1"/>
    <mergeCell ref="A43:A44"/>
    <mergeCell ref="C7:E7"/>
    <mergeCell ref="C17:E17"/>
    <mergeCell ref="F27:I27"/>
    <mergeCell ref="B43:C43"/>
    <mergeCell ref="D43:E43"/>
    <mergeCell ref="B44:C44"/>
    <mergeCell ref="D44:E44"/>
    <mergeCell ref="A27:B27"/>
    <mergeCell ref="A17:B23"/>
    <mergeCell ref="A2:I2"/>
    <mergeCell ref="A29:B29"/>
    <mergeCell ref="A28:B28"/>
    <mergeCell ref="C28:E28"/>
    <mergeCell ref="C29:E29"/>
    <mergeCell ref="A42:G42"/>
    <mergeCell ref="F28:I28"/>
    <mergeCell ref="A41:G41"/>
    <mergeCell ref="D102:E102"/>
    <mergeCell ref="D101:E101"/>
    <mergeCell ref="A105:I105"/>
    <mergeCell ref="A98:G98"/>
    <mergeCell ref="A106:I106"/>
    <mergeCell ref="A69:F71"/>
    <mergeCell ref="D45:E45"/>
    <mergeCell ref="B45:C45"/>
    <mergeCell ref="B53:C53"/>
    <mergeCell ref="D53:E53"/>
    <mergeCell ref="F45:G45"/>
    <mergeCell ref="F46:G46"/>
    <mergeCell ref="A67:I67"/>
    <mergeCell ref="F47:G47"/>
    <mergeCell ref="F54:G54"/>
    <mergeCell ref="F89:G89"/>
    <mergeCell ref="A88:G88"/>
    <mergeCell ref="A68:I68"/>
    <mergeCell ref="A74:I74"/>
    <mergeCell ref="A80:I80"/>
    <mergeCell ref="D90:E90"/>
    <mergeCell ref="F90:G90"/>
    <mergeCell ref="F94:G94"/>
    <mergeCell ref="B64:C64"/>
    <mergeCell ref="A93:C94"/>
    <mergeCell ref="F93:G93"/>
    <mergeCell ref="D93:E93"/>
    <mergeCell ref="H108:I108"/>
    <mergeCell ref="B108:E109"/>
    <mergeCell ref="A101:C101"/>
    <mergeCell ref="F101:G101"/>
    <mergeCell ref="F43:G43"/>
    <mergeCell ref="F44:G44"/>
    <mergeCell ref="A89:C90"/>
    <mergeCell ref="A75:G76"/>
    <mergeCell ref="D47:E47"/>
    <mergeCell ref="D52:E52"/>
    <mergeCell ref="F56:G56"/>
    <mergeCell ref="A73:I73"/>
    <mergeCell ref="F55:G55"/>
    <mergeCell ref="D46:E46"/>
    <mergeCell ref="F109:I109"/>
    <mergeCell ref="A58:G58"/>
    <mergeCell ref="A59:G59"/>
    <mergeCell ref="A60:A61"/>
    <mergeCell ref="B60:C60"/>
    <mergeCell ref="D60:E60"/>
    <mergeCell ref="D99:E99"/>
    <mergeCell ref="A134:I134"/>
    <mergeCell ref="H122:I122"/>
    <mergeCell ref="H123:I123"/>
    <mergeCell ref="H124:I124"/>
    <mergeCell ref="H125:I125"/>
    <mergeCell ref="H121:I121"/>
    <mergeCell ref="C143:E143"/>
    <mergeCell ref="F143:G143"/>
    <mergeCell ref="A141:H141"/>
    <mergeCell ref="A142:A144"/>
    <mergeCell ref="A135:A136"/>
    <mergeCell ref="C121:D121"/>
    <mergeCell ref="C128:D128"/>
    <mergeCell ref="H128:I128"/>
    <mergeCell ref="H129:I129"/>
    <mergeCell ref="H130:I130"/>
    <mergeCell ref="C118:D118"/>
    <mergeCell ref="C115:E115"/>
    <mergeCell ref="F115:G115"/>
    <mergeCell ref="A49:G49"/>
    <mergeCell ref="B54:C54"/>
    <mergeCell ref="D54:E54"/>
    <mergeCell ref="B51:C51"/>
    <mergeCell ref="D51:E51"/>
    <mergeCell ref="B52:C52"/>
    <mergeCell ref="A50:G50"/>
    <mergeCell ref="F116:G116"/>
    <mergeCell ref="A115:A117"/>
    <mergeCell ref="A85:I85"/>
    <mergeCell ref="A86:I86"/>
    <mergeCell ref="A79:I79"/>
    <mergeCell ref="A108:A109"/>
    <mergeCell ref="F102:G102"/>
    <mergeCell ref="F99:G99"/>
    <mergeCell ref="B115:B117"/>
    <mergeCell ref="C117:D117"/>
    <mergeCell ref="F108:G108"/>
    <mergeCell ref="A107:I107"/>
    <mergeCell ref="D100:E100"/>
    <mergeCell ref="D94:E94"/>
  </mergeCells>
  <phoneticPr fontId="6" type="noConversion"/>
  <pageMargins left="0.43307086614173229" right="0.39370078740157483" top="0.39370078740157483" bottom="0.39370078740157483" header="0.19685039370078741" footer="7.874015748031496E-2"/>
  <pageSetup paperSize="9" scale="74" fitToHeight="0" orientation="portrait" r:id="rId1"/>
  <headerFooter>
    <oddFooter>&amp;C&amp;"Times New Roman,Normal"&amp;8&amp;K000000Løntabel for Lærere og Børnehaveklasseledere&amp;R&amp;"Times New Roman,Normal"&amp;8&amp;K000000Side &amp;Paf i alt &amp;N sider</oddFooter>
  </headerFooter>
  <rowBreaks count="3" manualBreakCount="3">
    <brk id="56" max="16383" man="1"/>
    <brk id="103" max="16383" man="1"/>
    <brk id="16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18"/>
  <sheetViews>
    <sheetView view="pageBreakPreview" topLeftCell="A5" zoomScaleSheetLayoutView="125" workbookViewId="0">
      <selection activeCell="A4" sqref="A4"/>
    </sheetView>
  </sheetViews>
  <sheetFormatPr baseColWidth="10" defaultColWidth="8.83203125" defaultRowHeight="14"/>
  <cols>
    <col min="1" max="1" width="21.6640625" style="2" customWidth="1"/>
    <col min="2" max="2" width="20.6640625" style="2" customWidth="1"/>
    <col min="3" max="3" width="14" style="2" customWidth="1"/>
    <col min="4" max="4" width="21.6640625" style="2" customWidth="1"/>
    <col min="5" max="5" width="17.1640625" style="2" customWidth="1"/>
    <col min="6" max="6" width="21.33203125" style="2" customWidth="1"/>
    <col min="7" max="7" width="0.1640625" style="2" customWidth="1"/>
    <col min="8" max="8" width="17.1640625" style="2" customWidth="1"/>
    <col min="9" max="9" width="26.6640625" style="2" customWidth="1"/>
    <col min="10" max="16384" width="8.83203125" style="2"/>
  </cols>
  <sheetData>
    <row r="1" spans="1:16" ht="33" customHeight="1" thickBot="1">
      <c r="A1" s="1361" t="s">
        <v>495</v>
      </c>
      <c r="B1" s="1362"/>
      <c r="C1" s="1362"/>
      <c r="D1" s="1362"/>
      <c r="E1" s="1362"/>
      <c r="F1" s="1362"/>
      <c r="G1" s="1363"/>
      <c r="H1" s="42"/>
    </row>
    <row r="2" spans="1:16" ht="32" hidden="1" customHeight="1">
      <c r="A2" s="1263" t="s">
        <v>109</v>
      </c>
      <c r="B2" s="1264"/>
      <c r="C2" s="1264"/>
      <c r="D2" s="1264"/>
      <c r="E2" s="1264"/>
      <c r="F2" s="1264"/>
      <c r="G2" s="1265"/>
    </row>
    <row r="3" spans="1:16" ht="33" hidden="1" customHeight="1" thickBot="1">
      <c r="A3" s="1364" t="s">
        <v>496</v>
      </c>
      <c r="B3" s="1365"/>
      <c r="C3" s="1365"/>
      <c r="D3" s="1365"/>
      <c r="E3" s="1365"/>
      <c r="F3" s="1365"/>
      <c r="G3" s="1366"/>
    </row>
    <row r="4" spans="1:16" s="27" customFormat="1" ht="20" customHeight="1" thickBot="1">
      <c r="A4" s="730"/>
      <c r="B4" s="730"/>
      <c r="C4" s="730"/>
      <c r="D4" s="730"/>
      <c r="E4" s="730"/>
      <c r="F4" s="730"/>
      <c r="G4" s="44"/>
      <c r="N4" s="1345"/>
      <c r="O4" s="1345"/>
      <c r="P4" s="1345"/>
    </row>
    <row r="5" spans="1:16" s="27" customFormat="1" ht="18" customHeight="1">
      <c r="A5" s="1379" t="s">
        <v>489</v>
      </c>
      <c r="B5" s="1380"/>
      <c r="C5" s="1380"/>
      <c r="D5" s="1380"/>
      <c r="E5" s="1380"/>
      <c r="F5" s="1381"/>
      <c r="G5" s="89"/>
      <c r="N5" s="1346"/>
      <c r="O5" s="1346"/>
      <c r="P5" s="1346"/>
    </row>
    <row r="6" spans="1:16" ht="14" customHeight="1">
      <c r="A6" s="1382"/>
      <c r="B6" s="1383"/>
      <c r="C6" s="1383"/>
      <c r="D6" s="1383"/>
      <c r="E6" s="1383"/>
      <c r="F6" s="1384"/>
      <c r="G6" s="89"/>
      <c r="N6" s="1347"/>
      <c r="O6" s="1347"/>
      <c r="P6" s="1347"/>
    </row>
    <row r="7" spans="1:16" ht="14" customHeight="1" thickBot="1">
      <c r="A7" s="1247" t="s">
        <v>330</v>
      </c>
      <c r="B7" s="1248"/>
      <c r="C7" s="1248"/>
      <c r="D7" s="1248"/>
      <c r="E7" s="1248"/>
      <c r="F7" s="1249"/>
      <c r="G7" s="89"/>
      <c r="N7" s="588"/>
      <c r="O7" s="588"/>
      <c r="P7" s="588"/>
    </row>
    <row r="8" spans="1:16" customFormat="1" ht="15" customHeight="1">
      <c r="A8" s="1375"/>
      <c r="B8" s="1376"/>
      <c r="C8" s="1371" t="s">
        <v>133</v>
      </c>
      <c r="D8" s="1372"/>
      <c r="E8" s="1371" t="s">
        <v>372</v>
      </c>
      <c r="F8" s="1372"/>
      <c r="G8" s="77"/>
      <c r="H8" s="38"/>
    </row>
    <row r="9" spans="1:16" customFormat="1" ht="15" customHeight="1" thickBot="1">
      <c r="A9" s="1377"/>
      <c r="B9" s="1378"/>
      <c r="C9" s="1342">
        <v>40999</v>
      </c>
      <c r="D9" s="1338"/>
      <c r="E9" s="1337" t="str">
        <f>'Løntabel gældende fra'!D1</f>
        <v>01/04/2019</v>
      </c>
      <c r="F9" s="1338"/>
      <c r="G9" s="389"/>
      <c r="H9" s="38"/>
    </row>
    <row r="10" spans="1:16" customFormat="1" ht="24" customHeight="1" thickBot="1">
      <c r="A10" s="1373" t="s">
        <v>117</v>
      </c>
      <c r="B10" s="1374"/>
      <c r="C10" s="1349" t="s">
        <v>337</v>
      </c>
      <c r="D10" s="1340"/>
      <c r="E10" s="1349" t="s">
        <v>337</v>
      </c>
      <c r="F10" s="1340"/>
      <c r="G10" s="389"/>
      <c r="H10" s="38"/>
    </row>
    <row r="11" spans="1:16" customFormat="1" ht="17" customHeight="1">
      <c r="A11" s="1369" t="s">
        <v>118</v>
      </c>
      <c r="B11" s="1370"/>
      <c r="C11" s="107">
        <v>370554</v>
      </c>
      <c r="D11" s="108">
        <v>440413</v>
      </c>
      <c r="E11" s="107">
        <f>C11+C11*'Løntabel gældende fra'!$D$7%</f>
        <v>402018.11069399997</v>
      </c>
      <c r="F11" s="108">
        <f>D11+D11*'Løntabel gældende fra'!$D$7%</f>
        <v>477808.90824299998</v>
      </c>
      <c r="G11" s="59"/>
      <c r="H11" s="38"/>
    </row>
    <row r="12" spans="1:16" customFormat="1" ht="17" customHeight="1">
      <c r="A12" s="1359" t="s">
        <v>119</v>
      </c>
      <c r="B12" s="1360"/>
      <c r="C12" s="109">
        <v>406159</v>
      </c>
      <c r="D12" s="134">
        <v>486503</v>
      </c>
      <c r="E12" s="110">
        <f>C12+C12*'Løntabel gældende fra'!$D$7%</f>
        <v>440646.36684899998</v>
      </c>
      <c r="F12" s="105">
        <f>D12+D12*'Løntabel gældende fra'!$D$7%</f>
        <v>527812.45623300003</v>
      </c>
      <c r="G12" s="59"/>
      <c r="H12" s="38"/>
    </row>
    <row r="13" spans="1:16" customFormat="1" ht="17" customHeight="1">
      <c r="A13" s="1367" t="s">
        <v>487</v>
      </c>
      <c r="B13" s="1368"/>
      <c r="C13" s="110">
        <v>441765</v>
      </c>
      <c r="D13" s="105">
        <v>531283</v>
      </c>
      <c r="E13" s="110">
        <f>C13+C13*'Løntabel gældende fra'!$D$7%</f>
        <v>479275.70791499998</v>
      </c>
      <c r="F13" s="105">
        <f>D13+D13*'Løntabel gældende fra'!$D$7%</f>
        <v>576394.77081300004</v>
      </c>
      <c r="G13" s="59"/>
      <c r="H13" s="38"/>
    </row>
    <row r="14" spans="1:16" customFormat="1" ht="17" customHeight="1" thickBot="1">
      <c r="A14" s="1412" t="s">
        <v>488</v>
      </c>
      <c r="B14" s="1413"/>
      <c r="C14" s="878">
        <v>441765</v>
      </c>
      <c r="D14" s="879">
        <v>586331</v>
      </c>
      <c r="E14" s="878">
        <f>C14+C14*'Løntabel gældende fra'!$D$7%</f>
        <v>479275.70791499998</v>
      </c>
      <c r="F14" s="879">
        <f>D14+D14*'Løntabel gældende fra'!$D$7%</f>
        <v>636116.95154100005</v>
      </c>
      <c r="G14" s="59"/>
      <c r="H14" s="38"/>
    </row>
    <row r="15" spans="1:16" s="63" customFormat="1" ht="26" customHeight="1" thickBot="1">
      <c r="A15" s="88"/>
      <c r="B15" s="88"/>
      <c r="C15" s="88"/>
      <c r="D15" s="88"/>
      <c r="E15" s="88"/>
      <c r="F15" s="88"/>
      <c r="G15" s="88"/>
      <c r="H15" s="79"/>
    </row>
    <row r="16" spans="1:16" ht="18" customHeight="1">
      <c r="A16" s="1226" t="s">
        <v>497</v>
      </c>
      <c r="B16" s="1227"/>
      <c r="C16" s="1227"/>
      <c r="D16" s="1227"/>
      <c r="E16" s="1227"/>
      <c r="F16" s="1228"/>
      <c r="G16" s="89"/>
      <c r="H16" s="27"/>
    </row>
    <row r="17" spans="1:16" ht="14" customHeight="1">
      <c r="A17" s="1356"/>
      <c r="B17" s="1357"/>
      <c r="C17" s="1357"/>
      <c r="D17" s="1357"/>
      <c r="E17" s="1357"/>
      <c r="F17" s="1358"/>
      <c r="G17" s="89"/>
      <c r="H17" s="27"/>
    </row>
    <row r="18" spans="1:16" ht="14" customHeight="1" thickBot="1">
      <c r="A18" s="1247" t="s">
        <v>330</v>
      </c>
      <c r="B18" s="1248"/>
      <c r="C18" s="1248"/>
      <c r="D18" s="1248"/>
      <c r="E18" s="1248"/>
      <c r="F18" s="1249"/>
      <c r="G18" s="89"/>
      <c r="H18" s="895"/>
      <c r="I18" s="895"/>
      <c r="N18" s="588"/>
      <c r="O18" s="588"/>
      <c r="P18" s="588"/>
    </row>
    <row r="19" spans="1:16" customFormat="1" ht="15" customHeight="1">
      <c r="A19" s="1200"/>
      <c r="B19" s="1202"/>
      <c r="C19" s="1341" t="s">
        <v>133</v>
      </c>
      <c r="D19" s="1165"/>
      <c r="E19" s="1341" t="s">
        <v>372</v>
      </c>
      <c r="F19" s="1165"/>
      <c r="G19" s="77"/>
      <c r="H19" s="895" t="s">
        <v>131</v>
      </c>
      <c r="I19" s="895"/>
    </row>
    <row r="20" spans="1:16" customFormat="1" ht="15" customHeight="1" thickBot="1">
      <c r="A20" s="1343"/>
      <c r="B20" s="1344"/>
      <c r="C20" s="1342">
        <v>40999</v>
      </c>
      <c r="D20" s="1338"/>
      <c r="E20" s="1337" t="str">
        <f>'Løntabel gældende fra'!D1</f>
        <v>01/04/2019</v>
      </c>
      <c r="F20" s="1338"/>
      <c r="G20" s="389"/>
      <c r="H20" s="896"/>
      <c r="I20" s="897"/>
    </row>
    <row r="21" spans="1:16" customFormat="1" ht="24" customHeight="1" thickBot="1">
      <c r="A21" s="881" t="s">
        <v>117</v>
      </c>
      <c r="B21" s="469" t="s">
        <v>121</v>
      </c>
      <c r="C21" s="1339" t="s">
        <v>337</v>
      </c>
      <c r="D21" s="1340"/>
      <c r="E21" s="1349" t="s">
        <v>337</v>
      </c>
      <c r="F21" s="1340"/>
      <c r="G21" s="389"/>
      <c r="H21" s="895"/>
      <c r="I21" s="895"/>
    </row>
    <row r="22" spans="1:16" customFormat="1" ht="17" customHeight="1">
      <c r="A22" s="885" t="s">
        <v>122</v>
      </c>
      <c r="B22" s="884" t="s">
        <v>123</v>
      </c>
      <c r="C22" s="135">
        <f>C11+H22</f>
        <v>405942</v>
      </c>
      <c r="D22" s="136">
        <f>D11+I22</f>
        <v>466626</v>
      </c>
      <c r="E22" s="132">
        <f>C22+C22*'Løntabel gældende fra'!$D$7%</f>
        <v>440410.941162</v>
      </c>
      <c r="F22" s="133">
        <f>D22+D22*'Løntabel gældende fra'!$D$7%</f>
        <v>506247.68028600002</v>
      </c>
      <c r="G22" s="59"/>
      <c r="H22" s="896">
        <v>35388</v>
      </c>
      <c r="I22" s="897">
        <v>26213</v>
      </c>
      <c r="J22" s="1006"/>
      <c r="K22" s="1006"/>
    </row>
    <row r="23" spans="1:16" customFormat="1" ht="17" customHeight="1">
      <c r="A23" s="456" t="s">
        <v>119</v>
      </c>
      <c r="B23" s="99" t="s">
        <v>123</v>
      </c>
      <c r="C23" s="109">
        <f>C12+H23</f>
        <v>441547</v>
      </c>
      <c r="D23" s="134">
        <f t="shared" ref="D23:D24" si="0">D12+I23</f>
        <v>512716</v>
      </c>
      <c r="E23" s="106">
        <f>C23+C23*'Løntabel gældende fra'!$D$7%</f>
        <v>479039.19731700001</v>
      </c>
      <c r="F23" s="105">
        <f>D23+D23*'Løntabel gældende fra'!$D$7%</f>
        <v>556251.22827600001</v>
      </c>
      <c r="G23" s="59"/>
      <c r="H23" s="896">
        <v>35388</v>
      </c>
      <c r="I23" s="897">
        <v>26213</v>
      </c>
      <c r="J23" s="1006"/>
      <c r="K23" s="1006"/>
    </row>
    <row r="24" spans="1:16" customFormat="1" ht="17" customHeight="1">
      <c r="A24" s="882" t="s">
        <v>120</v>
      </c>
      <c r="B24" s="883" t="s">
        <v>123</v>
      </c>
      <c r="C24" s="135">
        <f>C13+H24</f>
        <v>477153</v>
      </c>
      <c r="D24" s="136">
        <f t="shared" si="0"/>
        <v>557496</v>
      </c>
      <c r="E24" s="137">
        <f>C24+C24*'Løntabel gældende fra'!$D$7%</f>
        <v>517668.53838300001</v>
      </c>
      <c r="F24" s="138">
        <f>D24+D24*'Løntabel gældende fra'!$D$7%</f>
        <v>604833.54285600001</v>
      </c>
      <c r="G24" s="59"/>
      <c r="H24" s="896">
        <v>35388</v>
      </c>
      <c r="I24" s="897">
        <v>26213</v>
      </c>
      <c r="J24" s="1006"/>
      <c r="K24" s="1006"/>
    </row>
    <row r="25" spans="1:16" s="63" customFormat="1" ht="17" customHeight="1">
      <c r="A25" s="886" t="s">
        <v>124</v>
      </c>
      <c r="B25" s="888" t="s">
        <v>125</v>
      </c>
      <c r="C25" s="110">
        <f t="shared" ref="C25:D27" si="1">C11+H25</f>
        <v>422980</v>
      </c>
      <c r="D25" s="105">
        <f t="shared" si="1"/>
        <v>483665</v>
      </c>
      <c r="E25" s="106">
        <f>C25+C25*'Løntabel gældende fra'!$D$7%</f>
        <v>458895.65477999998</v>
      </c>
      <c r="F25" s="105">
        <f>D25+D25*'Løntabel gældende fra'!$D$7%</f>
        <v>524733.47881500004</v>
      </c>
      <c r="G25" s="73"/>
      <c r="H25" s="897">
        <v>52426</v>
      </c>
      <c r="I25" s="897">
        <v>43252</v>
      </c>
    </row>
    <row r="26" spans="1:16" s="63" customFormat="1" ht="17" customHeight="1">
      <c r="A26" s="886" t="s">
        <v>119</v>
      </c>
      <c r="B26" s="888" t="s">
        <v>125</v>
      </c>
      <c r="C26" s="135">
        <f t="shared" si="1"/>
        <v>458585</v>
      </c>
      <c r="D26" s="136">
        <f t="shared" si="1"/>
        <v>529755</v>
      </c>
      <c r="E26" s="139">
        <f>C26+C26*'Løntabel gældende fra'!$D$7%</f>
        <v>497523.91093499999</v>
      </c>
      <c r="F26" s="136">
        <f>D26+D26*'Løntabel gældende fra'!$D$7%</f>
        <v>574737.02680500003</v>
      </c>
      <c r="G26" s="73"/>
      <c r="H26" s="897">
        <v>52426</v>
      </c>
      <c r="I26" s="897">
        <v>43252</v>
      </c>
    </row>
    <row r="27" spans="1:16" s="63" customFormat="1" ht="17" customHeight="1">
      <c r="A27" s="886" t="s">
        <v>120</v>
      </c>
      <c r="B27" s="888" t="s">
        <v>125</v>
      </c>
      <c r="C27" s="110">
        <f t="shared" si="1"/>
        <v>494191</v>
      </c>
      <c r="D27" s="105">
        <f t="shared" si="1"/>
        <v>574535</v>
      </c>
      <c r="E27" s="106">
        <f>C27+C27*'Løntabel gældende fra'!$D$7%</f>
        <v>536153.25200099999</v>
      </c>
      <c r="F27" s="105">
        <f>D27+D27*'Løntabel gældende fra'!$D$7%</f>
        <v>623319.34138500004</v>
      </c>
      <c r="G27" s="73"/>
      <c r="H27" s="897">
        <v>52426</v>
      </c>
      <c r="I27" s="897">
        <v>43252</v>
      </c>
    </row>
    <row r="28" spans="1:16" s="63" customFormat="1" ht="17" customHeight="1">
      <c r="A28" s="886" t="s">
        <v>124</v>
      </c>
      <c r="B28" s="888" t="s">
        <v>126</v>
      </c>
      <c r="C28" s="110">
        <f t="shared" ref="C28:D29" si="2">C11+H28</f>
        <v>441330</v>
      </c>
      <c r="D28" s="105">
        <f t="shared" si="2"/>
        <v>502014</v>
      </c>
      <c r="E28" s="132">
        <f>C28+C28*'Løntabel gældende fra'!$D$7%</f>
        <v>478803.77162999997</v>
      </c>
      <c r="F28" s="133">
        <f>D28+D28*'Løntabel gældende fra'!$D$7%</f>
        <v>544640.51075400005</v>
      </c>
      <c r="G28" s="73"/>
      <c r="H28" s="898">
        <v>70776</v>
      </c>
      <c r="I28" s="898">
        <v>61601</v>
      </c>
    </row>
    <row r="29" spans="1:16" s="63" customFormat="1" ht="17" customHeight="1">
      <c r="A29" s="886" t="s">
        <v>119</v>
      </c>
      <c r="B29" s="888" t="s">
        <v>126</v>
      </c>
      <c r="C29" s="110">
        <f t="shared" si="2"/>
        <v>476935</v>
      </c>
      <c r="D29" s="105">
        <f t="shared" si="2"/>
        <v>548104</v>
      </c>
      <c r="E29" s="106">
        <f>C29+C29*'Løntabel gældende fra'!$D$7%</f>
        <v>517432.02778499998</v>
      </c>
      <c r="F29" s="105">
        <f>D29+D29*'Løntabel gældende fra'!$D$7%</f>
        <v>594644.05874400004</v>
      </c>
      <c r="G29" s="73"/>
      <c r="H29" s="898">
        <v>70776</v>
      </c>
      <c r="I29" s="898">
        <v>61601</v>
      </c>
    </row>
    <row r="30" spans="1:16" s="63" customFormat="1" ht="17" customHeight="1" thickBot="1">
      <c r="A30" s="887" t="s">
        <v>120</v>
      </c>
      <c r="B30" s="889" t="s">
        <v>126</v>
      </c>
      <c r="C30" s="111">
        <f>C13+H30</f>
        <v>512541</v>
      </c>
      <c r="D30" s="113">
        <f>D13+I30</f>
        <v>592884</v>
      </c>
      <c r="E30" s="112">
        <f>C30+C30*'Løntabel gældende fra'!$D$7%</f>
        <v>556061.36885099998</v>
      </c>
      <c r="F30" s="113">
        <f>D30+D30*'Løntabel gældende fra'!$D$7%</f>
        <v>643226.37332400004</v>
      </c>
      <c r="G30" s="73"/>
      <c r="H30" s="898">
        <v>70776</v>
      </c>
      <c r="I30" s="898">
        <v>61601</v>
      </c>
    </row>
    <row r="31" spans="1:16" s="63" customFormat="1" ht="27" customHeight="1" thickBot="1">
      <c r="A31" s="73"/>
      <c r="B31" s="73"/>
      <c r="C31" s="73"/>
      <c r="D31" s="73"/>
      <c r="E31" s="73"/>
      <c r="F31" s="73"/>
      <c r="G31" s="73"/>
      <c r="H31" s="898"/>
      <c r="I31" s="898"/>
    </row>
    <row r="32" spans="1:16" ht="24" customHeight="1">
      <c r="A32" s="1350" t="s">
        <v>532</v>
      </c>
      <c r="B32" s="1351"/>
      <c r="C32" s="1351"/>
      <c r="D32" s="1351"/>
      <c r="E32" s="1351"/>
      <c r="F32" s="1352"/>
      <c r="G32" s="89"/>
      <c r="N32" s="1346"/>
      <c r="O32" s="1346"/>
      <c r="P32" s="1346"/>
    </row>
    <row r="33" spans="1:16" ht="11" customHeight="1">
      <c r="A33" s="1353"/>
      <c r="B33" s="1354"/>
      <c r="C33" s="1354"/>
      <c r="D33" s="1354"/>
      <c r="E33" s="1354"/>
      <c r="F33" s="1355"/>
      <c r="G33" s="89"/>
      <c r="N33" s="1347"/>
      <c r="O33" s="1347"/>
      <c r="P33" s="1347"/>
    </row>
    <row r="34" spans="1:16" ht="14" customHeight="1" thickBot="1">
      <c r="A34" s="1247" t="s">
        <v>330</v>
      </c>
      <c r="B34" s="1248"/>
      <c r="C34" s="1248"/>
      <c r="D34" s="1248"/>
      <c r="E34" s="1248"/>
      <c r="F34" s="1249"/>
      <c r="G34" s="89"/>
      <c r="N34" s="588"/>
      <c r="O34" s="588"/>
      <c r="P34" s="588"/>
    </row>
    <row r="35" spans="1:16" customFormat="1" ht="15" customHeight="1">
      <c r="A35" s="1200"/>
      <c r="B35" s="1202"/>
      <c r="C35" s="1341" t="s">
        <v>133</v>
      </c>
      <c r="D35" s="1165"/>
      <c r="E35" s="1341" t="s">
        <v>372</v>
      </c>
      <c r="F35" s="1165"/>
      <c r="G35" s="77"/>
      <c r="H35" s="38"/>
    </row>
    <row r="36" spans="1:16" customFormat="1" ht="15" customHeight="1" thickBot="1">
      <c r="A36" s="1203"/>
      <c r="B36" s="1205"/>
      <c r="C36" s="1342">
        <v>40999</v>
      </c>
      <c r="D36" s="1338"/>
      <c r="E36" s="1337" t="str">
        <f>'Løntabel gældende fra'!D1</f>
        <v>01/04/2019</v>
      </c>
      <c r="F36" s="1338"/>
      <c r="G36" s="389"/>
      <c r="H36" s="38"/>
    </row>
    <row r="37" spans="1:16" customFormat="1" ht="24" customHeight="1" thickBot="1">
      <c r="A37" s="1414" t="s">
        <v>117</v>
      </c>
      <c r="B37" s="1415"/>
      <c r="C37" s="1386" t="s">
        <v>275</v>
      </c>
      <c r="D37" s="1387"/>
      <c r="E37" s="1349" t="s">
        <v>275</v>
      </c>
      <c r="F37" s="1340"/>
      <c r="G37" s="389"/>
      <c r="H37" s="38"/>
    </row>
    <row r="38" spans="1:16" customFormat="1" ht="24" customHeight="1">
      <c r="A38" s="1416" t="s">
        <v>490</v>
      </c>
      <c r="B38" s="1417"/>
      <c r="C38" s="1398">
        <v>353412</v>
      </c>
      <c r="D38" s="1399"/>
      <c r="E38" s="1398">
        <f>C38+C38*'Løntabel gældende fra'!$D$7%</f>
        <v>383420.56633200002</v>
      </c>
      <c r="F38" s="1399"/>
      <c r="G38" s="59"/>
      <c r="H38" s="38"/>
    </row>
    <row r="39" spans="1:16" customFormat="1" ht="22" customHeight="1" thickBot="1">
      <c r="A39" s="1418" t="s">
        <v>120</v>
      </c>
      <c r="B39" s="1419"/>
      <c r="C39" s="1420">
        <v>396929</v>
      </c>
      <c r="D39" s="1421"/>
      <c r="E39" s="1400">
        <f>C39+C39*'Løntabel gældende fra'!$D$7%</f>
        <v>430632.63831900002</v>
      </c>
      <c r="F39" s="1401"/>
      <c r="G39" s="59"/>
      <c r="H39" s="38"/>
    </row>
    <row r="40" spans="1:16" s="63" customFormat="1" ht="23" customHeight="1">
      <c r="A40" s="1385"/>
      <c r="B40" s="1385"/>
      <c r="C40" s="1385"/>
      <c r="D40" s="1385"/>
      <c r="E40" s="1385"/>
      <c r="F40" s="128"/>
      <c r="G40" s="73"/>
      <c r="H40" s="73"/>
      <c r="I40" s="73"/>
      <c r="J40" s="73"/>
      <c r="K40" s="73"/>
    </row>
    <row r="41" spans="1:16" s="63" customFormat="1" ht="7" customHeight="1" thickBot="1">
      <c r="A41" s="727"/>
      <c r="B41" s="728"/>
      <c r="C41" s="727"/>
      <c r="D41" s="729"/>
      <c r="E41" s="729"/>
      <c r="F41" s="729"/>
      <c r="G41" s="73"/>
      <c r="H41" s="73"/>
      <c r="I41" s="73"/>
      <c r="J41" s="73"/>
      <c r="K41" s="73"/>
    </row>
    <row r="42" spans="1:16" s="63" customFormat="1" ht="54" customHeight="1" thickBot="1">
      <c r="A42" s="1389" t="s">
        <v>169</v>
      </c>
      <c r="B42" s="1390"/>
      <c r="C42" s="1390"/>
      <c r="D42" s="1390"/>
      <c r="E42" s="1390"/>
      <c r="F42" s="1390"/>
      <c r="G42" s="1391"/>
      <c r="H42" s="73"/>
      <c r="I42" s="73"/>
      <c r="J42" s="73"/>
      <c r="K42" s="73"/>
    </row>
    <row r="43" spans="1:16" s="63" customFormat="1" ht="20">
      <c r="A43" s="1166" t="s">
        <v>533</v>
      </c>
      <c r="B43" s="1392" t="s">
        <v>492</v>
      </c>
      <c r="C43" s="1393"/>
      <c r="D43" s="1394"/>
      <c r="E43" s="707" t="s">
        <v>133</v>
      </c>
      <c r="F43" s="708" t="s">
        <v>372</v>
      </c>
      <c r="G43" s="600"/>
      <c r="H43" s="73"/>
      <c r="I43" s="73"/>
      <c r="J43" s="73"/>
      <c r="K43" s="73"/>
    </row>
    <row r="44" spans="1:16" s="63" customFormat="1" ht="38" customHeight="1" thickBot="1">
      <c r="A44" s="1167"/>
      <c r="B44" s="1395"/>
      <c r="C44" s="1396"/>
      <c r="D44" s="1397"/>
      <c r="E44" s="890">
        <v>40999</v>
      </c>
      <c r="F44" s="891" t="str">
        <f>'Løntabel gældende fra'!$D$1</f>
        <v>01/04/2019</v>
      </c>
      <c r="G44" s="601"/>
      <c r="H44" s="73"/>
      <c r="I44" s="73"/>
      <c r="J44" s="73"/>
      <c r="K44" s="73"/>
    </row>
    <row r="45" spans="1:16" s="63" customFormat="1" ht="20">
      <c r="A45" s="1258"/>
      <c r="B45" s="726" t="s">
        <v>339</v>
      </c>
      <c r="C45" s="604"/>
      <c r="D45" s="608"/>
      <c r="E45" s="610">
        <v>98300</v>
      </c>
      <c r="F45" s="611">
        <f>E45+E45*'Løntabel gældende fra'!$D$7%</f>
        <v>106646.7513</v>
      </c>
      <c r="G45" s="602"/>
      <c r="H45" s="73"/>
      <c r="I45" s="73"/>
      <c r="J45" s="73"/>
      <c r="K45" s="73"/>
    </row>
    <row r="46" spans="1:16" s="63" customFormat="1" ht="21" thickBot="1">
      <c r="A46" s="1261"/>
      <c r="B46" s="605" t="s">
        <v>338</v>
      </c>
      <c r="C46" s="606"/>
      <c r="D46" s="609"/>
      <c r="E46" s="607">
        <v>124500</v>
      </c>
      <c r="F46" s="612">
        <f>E46+E46*'Løntabel gældende fra'!$D$7%</f>
        <v>135071.41949999999</v>
      </c>
      <c r="G46" s="603"/>
      <c r="H46" s="73"/>
      <c r="I46" s="73"/>
      <c r="J46" s="73"/>
      <c r="K46" s="73"/>
    </row>
    <row r="47" spans="1:16" s="63" customFormat="1" ht="34" customHeight="1" thickBot="1">
      <c r="A47" s="222" t="s">
        <v>534</v>
      </c>
      <c r="B47" s="1402" t="s">
        <v>491</v>
      </c>
      <c r="C47" s="1403"/>
      <c r="D47" s="1403"/>
      <c r="E47" s="1403"/>
      <c r="F47" s="1403"/>
      <c r="G47" s="1404"/>
      <c r="H47" s="73"/>
      <c r="I47" s="73"/>
      <c r="J47" s="73"/>
      <c r="K47" s="73"/>
    </row>
    <row r="48" spans="1:16" s="63" customFormat="1" ht="21" thickBot="1">
      <c r="B48" s="82"/>
      <c r="D48" s="127"/>
      <c r="E48" s="127"/>
      <c r="F48" s="127"/>
      <c r="G48" s="73"/>
      <c r="H48" s="73"/>
      <c r="I48" s="73"/>
      <c r="J48" s="73"/>
      <c r="K48" s="73"/>
    </row>
    <row r="49" spans="1:8" ht="42" customHeight="1">
      <c r="A49" s="1350" t="s">
        <v>134</v>
      </c>
      <c r="B49" s="1351"/>
      <c r="C49" s="1351"/>
      <c r="D49" s="1351"/>
      <c r="E49" s="1351"/>
      <c r="F49" s="1351"/>
      <c r="G49" s="1352"/>
      <c r="H49" s="86"/>
    </row>
    <row r="50" spans="1:8" ht="26" customHeight="1" thickBot="1">
      <c r="A50" s="1406" t="str">
        <f>'Løntabel gældende fra'!$D$1</f>
        <v>01/04/2019</v>
      </c>
      <c r="B50" s="1407"/>
      <c r="C50" s="1407"/>
      <c r="D50" s="1407"/>
      <c r="E50" s="1407"/>
      <c r="F50" s="1407"/>
      <c r="G50" s="1408"/>
      <c r="H50" s="87"/>
    </row>
    <row r="51" spans="1:8" s="79" customFormat="1" ht="32" customHeight="1">
      <c r="A51" s="1409" t="s">
        <v>127</v>
      </c>
      <c r="B51" s="1409"/>
      <c r="C51" s="1409"/>
      <c r="D51" s="1409"/>
      <c r="E51" s="1409"/>
      <c r="F51" s="1409"/>
      <c r="G51" s="1409"/>
      <c r="H51" s="87"/>
    </row>
    <row r="52" spans="1:8" s="79" customFormat="1" ht="12" customHeight="1">
      <c r="A52" s="91"/>
      <c r="B52" s="91"/>
      <c r="C52" s="91"/>
      <c r="D52" s="91"/>
      <c r="E52" s="91"/>
      <c r="F52" s="91"/>
      <c r="G52" s="91"/>
      <c r="H52" s="87"/>
    </row>
    <row r="53" spans="1:8" s="79" customFormat="1" ht="14" customHeight="1">
      <c r="A53" s="1410" t="s">
        <v>128</v>
      </c>
      <c r="B53" s="1388" t="s">
        <v>475</v>
      </c>
      <c r="C53" s="1388"/>
      <c r="D53" s="1388"/>
      <c r="E53" s="1388"/>
      <c r="F53" s="1388"/>
      <c r="G53" s="1388"/>
      <c r="H53" s="87"/>
    </row>
    <row r="54" spans="1:8" s="79" customFormat="1" ht="14" customHeight="1">
      <c r="A54" s="1410"/>
      <c r="B54" s="90" t="s">
        <v>504</v>
      </c>
      <c r="C54" s="892"/>
      <c r="D54" s="892"/>
      <c r="E54" s="892"/>
      <c r="F54" s="892"/>
      <c r="G54" s="892"/>
      <c r="H54" s="87"/>
    </row>
    <row r="55" spans="1:8" s="79" customFormat="1" ht="14" customHeight="1">
      <c r="A55" s="1410"/>
      <c r="B55" s="1388" t="s">
        <v>505</v>
      </c>
      <c r="C55" s="1388"/>
      <c r="D55" s="1388"/>
      <c r="E55" s="1388"/>
      <c r="F55" s="1388"/>
      <c r="G55" s="1388"/>
      <c r="H55" s="87"/>
    </row>
    <row r="56" spans="1:8" s="79" customFormat="1" ht="14" customHeight="1">
      <c r="A56" s="92"/>
      <c r="B56" s="1388"/>
      <c r="C56" s="1388"/>
      <c r="D56" s="1388"/>
      <c r="E56" s="1388"/>
      <c r="F56" s="1388"/>
      <c r="G56" s="1388"/>
      <c r="H56" s="87"/>
    </row>
    <row r="57" spans="1:8" s="79" customFormat="1" ht="14" customHeight="1">
      <c r="A57" s="579"/>
      <c r="B57" s="578"/>
      <c r="C57" s="578"/>
      <c r="D57" s="578"/>
      <c r="E57" s="578"/>
      <c r="F57" s="578"/>
      <c r="G57" s="578"/>
      <c r="H57" s="87"/>
    </row>
    <row r="58" spans="1:8" s="79" customFormat="1" ht="14" customHeight="1">
      <c r="A58" s="1410" t="s">
        <v>129</v>
      </c>
      <c r="B58" s="1388" t="s">
        <v>506</v>
      </c>
      <c r="C58" s="1388"/>
      <c r="D58" s="1388"/>
      <c r="E58" s="1388"/>
      <c r="F58" s="1388"/>
      <c r="G58" s="1388"/>
      <c r="H58" s="87"/>
    </row>
    <row r="59" spans="1:8" s="79" customFormat="1" ht="14" customHeight="1">
      <c r="A59" s="1410"/>
      <c r="B59" s="90" t="s">
        <v>507</v>
      </c>
      <c r="C59" s="892"/>
      <c r="D59" s="892"/>
      <c r="E59" s="892"/>
      <c r="F59" s="892"/>
      <c r="G59" s="892"/>
      <c r="H59" s="87"/>
    </row>
    <row r="60" spans="1:8" s="79" customFormat="1" ht="14" customHeight="1">
      <c r="A60" s="1410"/>
      <c r="B60" s="1388" t="s">
        <v>508</v>
      </c>
      <c r="C60" s="1388"/>
      <c r="D60" s="1388"/>
      <c r="E60" s="1388"/>
      <c r="F60" s="1388"/>
      <c r="G60" s="1388"/>
      <c r="H60" s="87"/>
    </row>
    <row r="61" spans="1:8" s="79" customFormat="1" ht="14" customHeight="1">
      <c r="A61" s="579"/>
      <c r="B61" s="1388"/>
      <c r="C61" s="1388"/>
      <c r="D61" s="1388"/>
      <c r="E61" s="1388"/>
      <c r="F61" s="1388"/>
      <c r="G61" s="1388"/>
      <c r="H61" s="87"/>
    </row>
    <row r="62" spans="1:8" s="79" customFormat="1" ht="12" customHeight="1" thickBot="1">
      <c r="A62" s="73"/>
      <c r="B62" s="73"/>
      <c r="C62" s="73"/>
      <c r="D62" s="73"/>
      <c r="E62" s="73"/>
      <c r="F62" s="73"/>
      <c r="G62" s="73"/>
      <c r="H62" s="87"/>
    </row>
    <row r="63" spans="1:8" ht="18" customHeight="1">
      <c r="A63" s="1166" t="s">
        <v>57</v>
      </c>
      <c r="B63" s="1137" t="s">
        <v>23</v>
      </c>
      <c r="C63" s="1184"/>
      <c r="D63" s="1137" t="s">
        <v>24</v>
      </c>
      <c r="E63" s="1184"/>
      <c r="F63" s="695" t="s">
        <v>375</v>
      </c>
      <c r="G63" s="1166" t="s">
        <v>96</v>
      </c>
    </row>
    <row r="64" spans="1:8" ht="18" customHeight="1" thickBot="1">
      <c r="A64" s="1167"/>
      <c r="B64" s="698">
        <v>40999</v>
      </c>
      <c r="C64" s="699"/>
      <c r="D64" s="1152" t="str">
        <f>'Løntabel gældende fra'!$D$1</f>
        <v>01/04/2019</v>
      </c>
      <c r="E64" s="1411"/>
      <c r="F64" s="696" t="str">
        <f>'Løntabel gældende fra'!$D$1</f>
        <v>01/04/2019</v>
      </c>
      <c r="G64" s="1167"/>
    </row>
    <row r="65" spans="1:8" ht="19" customHeight="1" thickBot="1">
      <c r="A65" s="1167"/>
      <c r="B65" s="700" t="s">
        <v>87</v>
      </c>
      <c r="C65" s="697" t="s">
        <v>167</v>
      </c>
      <c r="D65" s="353" t="s">
        <v>87</v>
      </c>
      <c r="E65" s="446" t="s">
        <v>167</v>
      </c>
      <c r="F65" s="446" t="s">
        <v>167</v>
      </c>
      <c r="G65" s="358">
        <v>0.15</v>
      </c>
    </row>
    <row r="66" spans="1:8" ht="14" customHeight="1">
      <c r="A66" s="391">
        <v>31</v>
      </c>
      <c r="B66" s="460">
        <f>+'Statens skalatrin'!N96</f>
        <v>290512.64000000001</v>
      </c>
      <c r="C66" s="462">
        <f>B66/12</f>
        <v>24209.386666666669</v>
      </c>
      <c r="D66" s="461">
        <f>ROUND(B66*(1+'Løntabel gældende fra'!$D$7/100),0)</f>
        <v>315180</v>
      </c>
      <c r="E66" s="721">
        <f>D66/12</f>
        <v>26265</v>
      </c>
      <c r="F66" s="460">
        <f>E66*15%</f>
        <v>3939.75</v>
      </c>
      <c r="G66" s="462">
        <f>F66*$G$65</f>
        <v>590.96249999999998</v>
      </c>
      <c r="H66" s="51"/>
    </row>
    <row r="67" spans="1:8">
      <c r="A67" s="456">
        <v>32</v>
      </c>
      <c r="B67" s="197">
        <f>+'Statens skalatrin'!N99</f>
        <v>296125.21000000002</v>
      </c>
      <c r="C67" s="701">
        <f t="shared" ref="C67:C85" si="3">B67/12</f>
        <v>24677.100833333334</v>
      </c>
      <c r="D67" s="703">
        <f>ROUND(B67*(1+'Løntabel gældende fra'!$D$7/100),0)</f>
        <v>321269</v>
      </c>
      <c r="E67" s="722">
        <f t="shared" ref="E67:E85" si="4">D67/12</f>
        <v>26772.416666666668</v>
      </c>
      <c r="F67" s="705">
        <f t="shared" ref="F67:F85" si="5">E67*15%</f>
        <v>4015.8625000000002</v>
      </c>
      <c r="G67" s="196">
        <f t="shared" ref="G67:G85" si="6">F67*$G$65</f>
        <v>602.37937499999998</v>
      </c>
    </row>
    <row r="68" spans="1:8">
      <c r="A68" s="456">
        <v>33</v>
      </c>
      <c r="B68" s="197">
        <f>+'Statens skalatrin'!N102</f>
        <v>301881.8</v>
      </c>
      <c r="C68" s="701">
        <f t="shared" si="3"/>
        <v>25156.816666666666</v>
      </c>
      <c r="D68" s="703">
        <f>ROUND(B68*(1+'Løntabel gældende fra'!$D$7/100),0)</f>
        <v>327515</v>
      </c>
      <c r="E68" s="722">
        <f t="shared" si="4"/>
        <v>27292.916666666668</v>
      </c>
      <c r="F68" s="705">
        <f t="shared" si="5"/>
        <v>4093.9375</v>
      </c>
      <c r="G68" s="196">
        <f t="shared" si="6"/>
        <v>614.09062499999993</v>
      </c>
    </row>
    <row r="69" spans="1:8">
      <c r="A69" s="456">
        <v>34</v>
      </c>
      <c r="B69" s="197">
        <f>+'Statens skalatrin'!N105</f>
        <v>307790.62</v>
      </c>
      <c r="C69" s="701">
        <f t="shared" si="3"/>
        <v>25649.218333333334</v>
      </c>
      <c r="D69" s="703">
        <f>ROUND(B69*(1+'Løntabel gældende fra'!$D$7/100),0)</f>
        <v>333925</v>
      </c>
      <c r="E69" s="722">
        <f t="shared" si="4"/>
        <v>27827.083333333332</v>
      </c>
      <c r="F69" s="705">
        <f t="shared" si="5"/>
        <v>4174.0625</v>
      </c>
      <c r="G69" s="196">
        <f t="shared" si="6"/>
        <v>626.109375</v>
      </c>
    </row>
    <row r="70" spans="1:8">
      <c r="A70" s="456">
        <v>35</v>
      </c>
      <c r="B70" s="197">
        <f>+'Statens skalatrin'!N108</f>
        <v>313854.56</v>
      </c>
      <c r="C70" s="701">
        <f t="shared" si="3"/>
        <v>26154.546666666665</v>
      </c>
      <c r="D70" s="703">
        <f>ROUND(B70*(1+'Løntabel gældende fra'!$D$7/100),0)</f>
        <v>340504</v>
      </c>
      <c r="E70" s="722">
        <f t="shared" si="4"/>
        <v>28375.333333333332</v>
      </c>
      <c r="F70" s="705">
        <f t="shared" si="5"/>
        <v>4256.2999999999993</v>
      </c>
      <c r="G70" s="196">
        <f t="shared" si="6"/>
        <v>638.44499999999982</v>
      </c>
    </row>
    <row r="71" spans="1:8">
      <c r="A71" s="456">
        <v>36</v>
      </c>
      <c r="B71" s="197">
        <f>+'Statens skalatrin'!N111</f>
        <v>320074.68</v>
      </c>
      <c r="C71" s="701">
        <f t="shared" si="3"/>
        <v>26672.89</v>
      </c>
      <c r="D71" s="703">
        <f>ROUND(B71*(1+'Løntabel gældende fra'!$D$7/100),0)</f>
        <v>347253</v>
      </c>
      <c r="E71" s="722">
        <f t="shared" si="4"/>
        <v>28937.75</v>
      </c>
      <c r="F71" s="705">
        <f t="shared" si="5"/>
        <v>4340.6624999999995</v>
      </c>
      <c r="G71" s="196">
        <f t="shared" si="6"/>
        <v>651.0993749999999</v>
      </c>
    </row>
    <row r="72" spans="1:8">
      <c r="A72" s="456">
        <v>37</v>
      </c>
      <c r="B72" s="197">
        <f>+'Statens skalatrin'!N114</f>
        <v>326457.34000000003</v>
      </c>
      <c r="C72" s="701">
        <f t="shared" si="3"/>
        <v>27204.778333333335</v>
      </c>
      <c r="D72" s="703">
        <f>ROUND(B72*(1+'Løntabel gældende fra'!$D$7/100),0)</f>
        <v>354177</v>
      </c>
      <c r="E72" s="722">
        <f t="shared" si="4"/>
        <v>29514.75</v>
      </c>
      <c r="F72" s="705">
        <f t="shared" si="5"/>
        <v>4427.2124999999996</v>
      </c>
      <c r="G72" s="196">
        <f t="shared" si="6"/>
        <v>664.08187499999997</v>
      </c>
    </row>
    <row r="73" spans="1:8">
      <c r="A73" s="456">
        <v>38</v>
      </c>
      <c r="B73" s="197">
        <f>+'Statens skalatrin'!N117</f>
        <v>333128.88</v>
      </c>
      <c r="C73" s="701">
        <f t="shared" si="3"/>
        <v>27760.74</v>
      </c>
      <c r="D73" s="703">
        <f>ROUND(B73*(1+'Løntabel gældende fra'!$D$7/100),0)</f>
        <v>361415</v>
      </c>
      <c r="E73" s="722">
        <f t="shared" si="4"/>
        <v>30117.916666666668</v>
      </c>
      <c r="F73" s="705">
        <f t="shared" si="5"/>
        <v>4517.6875</v>
      </c>
      <c r="G73" s="196">
        <f t="shared" si="6"/>
        <v>677.65312499999993</v>
      </c>
    </row>
    <row r="74" spans="1:8">
      <c r="A74" s="456">
        <v>39</v>
      </c>
      <c r="B74" s="197">
        <f>+'Statens skalatrin'!N120</f>
        <v>339989.41</v>
      </c>
      <c r="C74" s="701">
        <f t="shared" si="3"/>
        <v>28332.450833333332</v>
      </c>
      <c r="D74" s="703">
        <f>ROUND(B74*(1+'Løntabel gældende fra'!$D$7/100),0)</f>
        <v>368858</v>
      </c>
      <c r="E74" s="722">
        <f t="shared" si="4"/>
        <v>30738.166666666668</v>
      </c>
      <c r="F74" s="705">
        <f t="shared" si="5"/>
        <v>4610.7250000000004</v>
      </c>
      <c r="G74" s="196">
        <f t="shared" si="6"/>
        <v>691.60874999999999</v>
      </c>
    </row>
    <row r="75" spans="1:8">
      <c r="A75" s="456">
        <v>40</v>
      </c>
      <c r="B75" s="197">
        <f>+'Statens skalatrin'!N123</f>
        <v>347027.46</v>
      </c>
      <c r="C75" s="701">
        <f t="shared" si="3"/>
        <v>28918.955000000002</v>
      </c>
      <c r="D75" s="703">
        <f>ROUND(B75*(1+'Løntabel gældende fra'!$D$7/100),0)</f>
        <v>376494</v>
      </c>
      <c r="E75" s="722">
        <f t="shared" si="4"/>
        <v>31374.5</v>
      </c>
      <c r="F75" s="705">
        <f t="shared" si="5"/>
        <v>4706.1750000000002</v>
      </c>
      <c r="G75" s="196">
        <f t="shared" si="6"/>
        <v>705.92624999999998</v>
      </c>
    </row>
    <row r="76" spans="1:8">
      <c r="A76" s="456">
        <v>41</v>
      </c>
      <c r="B76" s="197">
        <f>+'Statens skalatrin'!N126</f>
        <v>354249.23</v>
      </c>
      <c r="C76" s="701">
        <f t="shared" si="3"/>
        <v>29520.769166666665</v>
      </c>
      <c r="D76" s="703">
        <f>ROUND(B76*(1+'Løntabel gældende fra'!$D$7/100),0)</f>
        <v>384329</v>
      </c>
      <c r="E76" s="722">
        <f t="shared" si="4"/>
        <v>32027.416666666668</v>
      </c>
      <c r="F76" s="705">
        <f t="shared" si="5"/>
        <v>4804.1125000000002</v>
      </c>
      <c r="G76" s="196">
        <f t="shared" si="6"/>
        <v>720.61687500000005</v>
      </c>
    </row>
    <row r="77" spans="1:8">
      <c r="A77" s="456">
        <v>42</v>
      </c>
      <c r="B77" s="197">
        <f>+'Statens skalatrin'!N129</f>
        <v>361659.2</v>
      </c>
      <c r="C77" s="701">
        <f t="shared" si="3"/>
        <v>30138.266666666666</v>
      </c>
      <c r="D77" s="703">
        <f>ROUND(B77*(1+'Løntabel gældende fra'!$D$7/100),0)</f>
        <v>392368</v>
      </c>
      <c r="E77" s="722">
        <f t="shared" si="4"/>
        <v>32697.333333333332</v>
      </c>
      <c r="F77" s="705">
        <f t="shared" si="5"/>
        <v>4904.5999999999995</v>
      </c>
      <c r="G77" s="196">
        <f t="shared" si="6"/>
        <v>735.68999999999994</v>
      </c>
    </row>
    <row r="78" spans="1:8">
      <c r="A78" s="456">
        <v>43</v>
      </c>
      <c r="B78" s="197">
        <f>+'Statens skalatrin'!N132</f>
        <v>369688.53</v>
      </c>
      <c r="C78" s="701">
        <f t="shared" si="3"/>
        <v>30807.377500000002</v>
      </c>
      <c r="D78" s="703">
        <f>ROUND(B78*(1+'Løntabel gældende fra'!$D$7/100),0)</f>
        <v>401079</v>
      </c>
      <c r="E78" s="722">
        <f t="shared" si="4"/>
        <v>33423.25</v>
      </c>
      <c r="F78" s="705">
        <f t="shared" si="5"/>
        <v>5013.4875000000002</v>
      </c>
      <c r="G78" s="196">
        <f t="shared" si="6"/>
        <v>752.02312500000005</v>
      </c>
    </row>
    <row r="79" spans="1:8">
      <c r="A79" s="456">
        <v>44</v>
      </c>
      <c r="B79" s="197">
        <f>+'Statens skalatrin'!N135</f>
        <v>377937.3</v>
      </c>
      <c r="C79" s="701">
        <f t="shared" si="3"/>
        <v>31494.774999999998</v>
      </c>
      <c r="D79" s="703">
        <f>ROUND(B79*(1+'Løntabel gældende fra'!$D$7/100),0)</f>
        <v>410028</v>
      </c>
      <c r="E79" s="722">
        <f t="shared" si="4"/>
        <v>34169</v>
      </c>
      <c r="F79" s="705">
        <f t="shared" si="5"/>
        <v>5125.3499999999995</v>
      </c>
      <c r="G79" s="196">
        <f t="shared" si="6"/>
        <v>768.8024999999999</v>
      </c>
    </row>
    <row r="80" spans="1:8">
      <c r="A80" s="456">
        <v>45</v>
      </c>
      <c r="B80" s="197">
        <f>+'Statens skalatrin'!N138</f>
        <v>386414.29</v>
      </c>
      <c r="C80" s="701">
        <f t="shared" si="3"/>
        <v>32201.19083333333</v>
      </c>
      <c r="D80" s="703">
        <f>ROUND(B80*(1+'Løntabel gældende fra'!$D$7/100),0)</f>
        <v>419225</v>
      </c>
      <c r="E80" s="722">
        <f t="shared" si="4"/>
        <v>34935.416666666664</v>
      </c>
      <c r="F80" s="705">
        <f t="shared" si="5"/>
        <v>5240.3124999999991</v>
      </c>
      <c r="G80" s="196">
        <f t="shared" si="6"/>
        <v>786.04687499999989</v>
      </c>
    </row>
    <row r="81" spans="1:7" s="79" customFormat="1">
      <c r="A81" s="456">
        <v>46</v>
      </c>
      <c r="B81" s="197">
        <f>+'Statens skalatrin'!N141</f>
        <v>395124.74</v>
      </c>
      <c r="C81" s="701">
        <f t="shared" si="3"/>
        <v>32927.061666666668</v>
      </c>
      <c r="D81" s="703">
        <f>ROUND(B81*(1+'Løntabel gældende fra'!$D$7/100),0)</f>
        <v>428675</v>
      </c>
      <c r="E81" s="722">
        <f t="shared" si="4"/>
        <v>35722.916666666664</v>
      </c>
      <c r="F81" s="705">
        <f t="shared" si="5"/>
        <v>5358.4374999999991</v>
      </c>
      <c r="G81" s="196">
        <f t="shared" si="6"/>
        <v>803.76562499999989</v>
      </c>
    </row>
    <row r="82" spans="1:7" s="79" customFormat="1">
      <c r="A82" s="456">
        <v>47</v>
      </c>
      <c r="B82" s="197">
        <f>+'Statens skalatrin'!N144</f>
        <v>413268.87</v>
      </c>
      <c r="C82" s="701">
        <f t="shared" si="3"/>
        <v>34439.072500000002</v>
      </c>
      <c r="D82" s="703">
        <f>ROUND(B82*(1+'Løntabel gældende fra'!$D$7/100),0)</f>
        <v>448360</v>
      </c>
      <c r="E82" s="722">
        <f t="shared" si="4"/>
        <v>37363.333333333336</v>
      </c>
      <c r="F82" s="705">
        <f t="shared" si="5"/>
        <v>5604.5</v>
      </c>
      <c r="G82" s="196">
        <f t="shared" si="6"/>
        <v>840.67499999999995</v>
      </c>
    </row>
    <row r="83" spans="1:7" s="79" customFormat="1">
      <c r="A83" s="456">
        <v>48</v>
      </c>
      <c r="B83" s="197">
        <f>+'Statens skalatrin'!N147</f>
        <v>441025.75</v>
      </c>
      <c r="C83" s="701">
        <f t="shared" si="3"/>
        <v>36752.145833333336</v>
      </c>
      <c r="D83" s="703">
        <f>ROUND(B83*(1+'Løntabel gældende fra'!$D$7/100),0)</f>
        <v>478474</v>
      </c>
      <c r="E83" s="722">
        <f t="shared" si="4"/>
        <v>39872.833333333336</v>
      </c>
      <c r="F83" s="705">
        <f t="shared" si="5"/>
        <v>5980.9250000000002</v>
      </c>
      <c r="G83" s="196">
        <f t="shared" si="6"/>
        <v>897.13874999999996</v>
      </c>
    </row>
    <row r="84" spans="1:7" s="27" customFormat="1">
      <c r="A84" s="456">
        <v>49</v>
      </c>
      <c r="B84" s="197">
        <f>+'Statens skalatrin'!N150</f>
        <v>471780.9</v>
      </c>
      <c r="C84" s="701">
        <f t="shared" si="3"/>
        <v>39315.075000000004</v>
      </c>
      <c r="D84" s="703">
        <f>ROUND(B84*(1+'Løntabel gældende fra'!$D$7/100),0)</f>
        <v>511840</v>
      </c>
      <c r="E84" s="722">
        <f t="shared" si="4"/>
        <v>42653.333333333336</v>
      </c>
      <c r="F84" s="705">
        <f t="shared" si="5"/>
        <v>6398</v>
      </c>
      <c r="G84" s="196">
        <f t="shared" si="6"/>
        <v>959.69999999999993</v>
      </c>
    </row>
    <row r="85" spans="1:7" s="27" customFormat="1" ht="15" customHeight="1" thickBot="1">
      <c r="A85" s="393">
        <v>50</v>
      </c>
      <c r="B85" s="176">
        <f>+'Statens skalatrin'!N153</f>
        <v>521094.47</v>
      </c>
      <c r="C85" s="702">
        <f t="shared" si="3"/>
        <v>43424.539166666662</v>
      </c>
      <c r="D85" s="704">
        <f>ROUND(B85*(1+'Løntabel gældende fra'!$D$7/100),0)</f>
        <v>565341</v>
      </c>
      <c r="E85" s="723">
        <f t="shared" si="4"/>
        <v>47111.75</v>
      </c>
      <c r="F85" s="706">
        <f t="shared" si="5"/>
        <v>7066.7624999999998</v>
      </c>
      <c r="G85" s="387">
        <f t="shared" si="6"/>
        <v>1060.014375</v>
      </c>
    </row>
    <row r="86" spans="1:7" ht="93" customHeight="1">
      <c r="A86" s="1405" t="s">
        <v>257</v>
      </c>
      <c r="B86" s="1405"/>
      <c r="C86" s="1405"/>
      <c r="D86" s="1405"/>
      <c r="E86" s="1405"/>
      <c r="F86" s="1405"/>
      <c r="G86" s="1405"/>
    </row>
    <row r="87" spans="1:7" s="79" customFormat="1">
      <c r="A87" s="78"/>
      <c r="B87" s="78"/>
      <c r="C87" s="78"/>
      <c r="D87" s="78"/>
      <c r="E87" s="78"/>
      <c r="F87" s="78"/>
      <c r="G87" s="78"/>
    </row>
    <row r="88" spans="1:7" s="79" customFormat="1" ht="15" customHeight="1">
      <c r="A88" s="1348"/>
      <c r="B88" s="1348"/>
      <c r="C88" s="1348"/>
      <c r="D88" s="1348"/>
      <c r="E88" s="1348"/>
      <c r="F88" s="1348"/>
      <c r="G88" s="1348"/>
    </row>
    <row r="89" spans="1:7">
      <c r="A89" s="7"/>
      <c r="B89" s="7"/>
      <c r="C89" s="7"/>
      <c r="D89" s="7"/>
      <c r="E89" s="7"/>
      <c r="F89" s="7"/>
      <c r="G89" s="7"/>
    </row>
    <row r="90" spans="1:7">
      <c r="A90" s="7"/>
      <c r="B90" s="7"/>
      <c r="C90" s="7"/>
      <c r="D90" s="7"/>
      <c r="E90" s="7"/>
      <c r="F90" s="7"/>
      <c r="G90" s="7"/>
    </row>
    <row r="91" spans="1:7">
      <c r="A91" s="7"/>
      <c r="B91" s="7"/>
      <c r="C91" s="7"/>
      <c r="D91" s="7"/>
      <c r="E91" s="7"/>
      <c r="F91" s="7"/>
      <c r="G91" s="7"/>
    </row>
    <row r="92" spans="1:7">
      <c r="A92" s="7"/>
      <c r="B92" s="7"/>
      <c r="C92" s="7"/>
      <c r="D92" s="7"/>
      <c r="E92" s="7"/>
      <c r="F92" s="7"/>
      <c r="G92" s="7"/>
    </row>
    <row r="93" spans="1:7">
      <c r="A93" s="7"/>
      <c r="B93" s="7"/>
      <c r="C93" s="7"/>
      <c r="D93" s="7"/>
      <c r="E93" s="7"/>
      <c r="F93" s="7"/>
      <c r="G93" s="7"/>
    </row>
    <row r="94" spans="1:7">
      <c r="A94" s="7"/>
      <c r="B94" s="7"/>
      <c r="C94" s="7"/>
      <c r="D94" s="7"/>
      <c r="E94" s="7"/>
      <c r="F94" s="7"/>
      <c r="G94" s="7"/>
    </row>
    <row r="95" spans="1:7">
      <c r="A95" s="7"/>
      <c r="B95" s="7"/>
      <c r="C95" s="7"/>
      <c r="D95" s="7"/>
      <c r="E95" s="7"/>
      <c r="F95" s="7"/>
      <c r="G95" s="7"/>
    </row>
    <row r="96" spans="1:7">
      <c r="A96" s="7"/>
      <c r="B96" s="7"/>
      <c r="C96" s="7"/>
      <c r="D96" s="7"/>
      <c r="E96" s="7"/>
      <c r="F96" s="7"/>
      <c r="G96" s="7"/>
    </row>
    <row r="97" spans="1:7">
      <c r="A97" s="7"/>
      <c r="B97" s="7"/>
      <c r="C97" s="7"/>
      <c r="D97" s="7"/>
      <c r="E97" s="7"/>
      <c r="F97" s="7"/>
      <c r="G97" s="7"/>
    </row>
    <row r="98" spans="1:7">
      <c r="A98" s="7"/>
      <c r="B98" s="7"/>
      <c r="C98" s="7"/>
      <c r="D98" s="7"/>
      <c r="E98" s="7"/>
      <c r="F98" s="7"/>
      <c r="G98" s="7"/>
    </row>
    <row r="99" spans="1:7">
      <c r="A99" s="7"/>
      <c r="B99" s="7"/>
      <c r="C99" s="7"/>
      <c r="D99" s="7"/>
      <c r="E99" s="7"/>
      <c r="F99" s="7"/>
      <c r="G99" s="7"/>
    </row>
    <row r="100" spans="1:7">
      <c r="A100" s="7"/>
      <c r="B100" s="7"/>
      <c r="C100" s="7"/>
      <c r="D100" s="7"/>
      <c r="E100" s="7"/>
      <c r="F100" s="7"/>
      <c r="G100" s="7"/>
    </row>
    <row r="101" spans="1:7">
      <c r="A101" s="7"/>
      <c r="B101" s="7"/>
      <c r="C101" s="7"/>
      <c r="D101" s="7"/>
      <c r="E101" s="7"/>
      <c r="F101" s="7"/>
      <c r="G101" s="7"/>
    </row>
    <row r="102" spans="1:7">
      <c r="A102" s="7"/>
      <c r="B102" s="7"/>
      <c r="C102" s="7"/>
      <c r="D102" s="7"/>
      <c r="E102" s="7"/>
      <c r="F102" s="7"/>
      <c r="G102" s="7"/>
    </row>
    <row r="103" spans="1:7">
      <c r="A103" s="7"/>
      <c r="B103" s="7"/>
      <c r="C103" s="7"/>
      <c r="D103" s="7"/>
      <c r="E103" s="7"/>
      <c r="F103" s="7"/>
      <c r="G103" s="7"/>
    </row>
    <row r="104" spans="1:7">
      <c r="A104" s="7"/>
      <c r="B104" s="7"/>
      <c r="C104" s="7"/>
      <c r="D104" s="7"/>
      <c r="E104" s="7"/>
      <c r="F104" s="7"/>
      <c r="G104" s="7"/>
    </row>
    <row r="105" spans="1:7">
      <c r="A105" s="7"/>
      <c r="B105" s="7"/>
      <c r="C105" s="7"/>
      <c r="D105" s="7"/>
      <c r="E105" s="7"/>
      <c r="F105" s="7"/>
      <c r="G105" s="7"/>
    </row>
    <row r="106" spans="1:7">
      <c r="A106" s="7"/>
      <c r="B106" s="7"/>
      <c r="C106" s="7"/>
      <c r="D106" s="7"/>
      <c r="E106" s="7"/>
      <c r="F106" s="7"/>
      <c r="G106" s="7"/>
    </row>
    <row r="107" spans="1:7">
      <c r="A107" s="7"/>
      <c r="B107" s="7"/>
      <c r="C107" s="7"/>
      <c r="D107" s="7"/>
      <c r="E107" s="7"/>
      <c r="F107" s="7"/>
      <c r="G107" s="7"/>
    </row>
    <row r="108" spans="1:7">
      <c r="A108" s="7"/>
      <c r="B108" s="7"/>
      <c r="C108" s="7"/>
      <c r="D108" s="7"/>
      <c r="E108" s="7"/>
      <c r="F108" s="7"/>
      <c r="G108" s="7"/>
    </row>
    <row r="109" spans="1:7">
      <c r="A109" s="7"/>
      <c r="B109" s="7"/>
      <c r="C109" s="7"/>
      <c r="D109" s="7"/>
      <c r="E109" s="7"/>
      <c r="F109" s="7"/>
      <c r="G109" s="7"/>
    </row>
    <row r="110" spans="1:7">
      <c r="A110" s="7"/>
      <c r="B110" s="7"/>
      <c r="C110" s="7"/>
      <c r="D110" s="7"/>
      <c r="E110" s="7"/>
      <c r="F110" s="7"/>
      <c r="G110" s="7"/>
    </row>
    <row r="111" spans="1:7">
      <c r="A111" s="7"/>
      <c r="B111" s="7"/>
      <c r="C111" s="7"/>
      <c r="D111" s="7"/>
      <c r="E111" s="7"/>
      <c r="F111" s="7"/>
      <c r="G111" s="7"/>
    </row>
    <row r="112" spans="1:7">
      <c r="A112" s="7"/>
      <c r="B112" s="7"/>
      <c r="C112" s="7"/>
      <c r="D112" s="7"/>
      <c r="E112" s="7"/>
      <c r="F112" s="7"/>
      <c r="G112" s="7"/>
    </row>
    <row r="113" spans="1:7">
      <c r="A113" s="7"/>
      <c r="B113" s="7"/>
      <c r="C113" s="7"/>
      <c r="D113" s="7"/>
      <c r="E113" s="7"/>
      <c r="F113" s="7"/>
      <c r="G113" s="7"/>
    </row>
    <row r="114" spans="1:7">
      <c r="A114" s="7"/>
      <c r="B114" s="7"/>
      <c r="C114" s="7"/>
      <c r="D114" s="7"/>
      <c r="E114" s="7"/>
      <c r="F114" s="7"/>
      <c r="G114" s="7"/>
    </row>
    <row r="115" spans="1:7">
      <c r="A115" s="1"/>
      <c r="B115" s="1"/>
      <c r="C115" s="1"/>
      <c r="D115" s="1"/>
      <c r="E115" s="1"/>
      <c r="F115" s="1"/>
      <c r="G115" s="1"/>
    </row>
    <row r="116" spans="1:7">
      <c r="A116" s="1"/>
      <c r="B116" s="1"/>
      <c r="C116" s="1"/>
      <c r="D116" s="1"/>
      <c r="E116" s="1"/>
      <c r="F116" s="1"/>
      <c r="G116" s="1"/>
    </row>
    <row r="117" spans="1:7">
      <c r="A117" s="1"/>
      <c r="B117" s="1"/>
      <c r="C117" s="1"/>
      <c r="D117" s="1"/>
      <c r="E117" s="1"/>
      <c r="F117" s="1"/>
      <c r="G117" s="1"/>
    </row>
    <row r="118" spans="1:7">
      <c r="A118" s="1"/>
      <c r="B118" s="1"/>
      <c r="C118" s="1"/>
      <c r="D118" s="1"/>
      <c r="E118" s="1"/>
      <c r="F118" s="1"/>
      <c r="G118" s="1"/>
    </row>
  </sheetData>
  <sheetProtection sheet="1" objects="1" scenarios="1"/>
  <mergeCells count="68">
    <mergeCell ref="A14:B14"/>
    <mergeCell ref="A37:B37"/>
    <mergeCell ref="A38:B38"/>
    <mergeCell ref="A39:B39"/>
    <mergeCell ref="C38:D38"/>
    <mergeCell ref="C39:D39"/>
    <mergeCell ref="A86:G86"/>
    <mergeCell ref="A49:G49"/>
    <mergeCell ref="A50:G50"/>
    <mergeCell ref="A51:G51"/>
    <mergeCell ref="B53:G53"/>
    <mergeCell ref="A53:A55"/>
    <mergeCell ref="A58:A60"/>
    <mergeCell ref="B58:G58"/>
    <mergeCell ref="G63:G64"/>
    <mergeCell ref="A63:A65"/>
    <mergeCell ref="B63:C63"/>
    <mergeCell ref="D63:E63"/>
    <mergeCell ref="D64:E64"/>
    <mergeCell ref="B60:G61"/>
    <mergeCell ref="A40:E40"/>
    <mergeCell ref="C37:D37"/>
    <mergeCell ref="B55:G56"/>
    <mergeCell ref="A42:G42"/>
    <mergeCell ref="A43:A46"/>
    <mergeCell ref="B43:D44"/>
    <mergeCell ref="E38:F38"/>
    <mergeCell ref="E39:F39"/>
    <mergeCell ref="B47:G47"/>
    <mergeCell ref="A1:G1"/>
    <mergeCell ref="A2:G2"/>
    <mergeCell ref="A3:G3"/>
    <mergeCell ref="A13:B13"/>
    <mergeCell ref="A11:B11"/>
    <mergeCell ref="C8:D8"/>
    <mergeCell ref="E8:F8"/>
    <mergeCell ref="A10:B10"/>
    <mergeCell ref="C9:D9"/>
    <mergeCell ref="E9:F9"/>
    <mergeCell ref="A8:B9"/>
    <mergeCell ref="A7:F7"/>
    <mergeCell ref="A5:F6"/>
    <mergeCell ref="N4:P4"/>
    <mergeCell ref="N5:P5"/>
    <mergeCell ref="N6:P6"/>
    <mergeCell ref="A88:G88"/>
    <mergeCell ref="C35:D35"/>
    <mergeCell ref="E37:F37"/>
    <mergeCell ref="A32:F33"/>
    <mergeCell ref="N32:P32"/>
    <mergeCell ref="N33:P33"/>
    <mergeCell ref="A16:F17"/>
    <mergeCell ref="C19:D19"/>
    <mergeCell ref="E21:F21"/>
    <mergeCell ref="A12:B12"/>
    <mergeCell ref="C10:D10"/>
    <mergeCell ref="E10:F10"/>
    <mergeCell ref="C36:D36"/>
    <mergeCell ref="E36:F36"/>
    <mergeCell ref="A35:B36"/>
    <mergeCell ref="A18:F18"/>
    <mergeCell ref="C21:D21"/>
    <mergeCell ref="E19:F19"/>
    <mergeCell ref="C20:D20"/>
    <mergeCell ref="E20:F20"/>
    <mergeCell ref="A19:B20"/>
    <mergeCell ref="A34:F34"/>
    <mergeCell ref="E35:F35"/>
  </mergeCells>
  <phoneticPr fontId="6" type="noConversion"/>
  <pageMargins left="0.43307086614173229" right="0.39370078740157483" top="0.39370078740157483" bottom="0.39370078740157483" header="0.19685039370078741" footer="0.19685039370078741"/>
  <pageSetup paperSize="9" scale="71" orientation="portrait" r:id="rId1"/>
  <headerFooter>
    <oddFooter>&amp;C&amp;"Times New Roman,Normal"&amp;8&amp;K000000Løntabel for Ledere ved frie grundskoler&amp;R&amp;"Times New Roman,Normal"&amp;8&amp;K000000Side &amp;P af i alt &amp;N sider</oddFooter>
  </headerFooter>
  <rowBreaks count="2" manualBreakCount="2">
    <brk id="41" max="6" man="1"/>
    <brk id="89" max="16383" man="1"/>
  </rowBreaks>
  <colBreaks count="1" manualBreakCount="1">
    <brk id="8" max="1048575" man="1"/>
  </colBreaks>
  <ignoredErrors>
    <ignoredError sqref="D66:D67 D68:D85"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26"/>
  <sheetViews>
    <sheetView topLeftCell="A101" workbookViewId="0">
      <selection sqref="A1:G1"/>
    </sheetView>
  </sheetViews>
  <sheetFormatPr baseColWidth="10" defaultColWidth="8.83203125" defaultRowHeight="14"/>
  <cols>
    <col min="1" max="1" width="10.5" style="2" customWidth="1"/>
    <col min="2" max="2" width="12.83203125" style="2" customWidth="1"/>
    <col min="3" max="3" width="12.6640625" style="2" customWidth="1"/>
    <col min="4" max="4" width="13.1640625" style="2" customWidth="1"/>
    <col min="5" max="5" width="13.33203125" style="2" customWidth="1"/>
    <col min="6" max="6" width="11.5" style="2" customWidth="1"/>
    <col min="7" max="7" width="13.5" style="2" customWidth="1"/>
    <col min="8" max="16384" width="8.83203125" style="2"/>
  </cols>
  <sheetData>
    <row r="1" spans="1:9" ht="49.5" customHeight="1" thickBot="1">
      <c r="A1" s="1462" t="s">
        <v>424</v>
      </c>
      <c r="B1" s="1463"/>
      <c r="C1" s="1463"/>
      <c r="D1" s="1463"/>
      <c r="E1" s="1463"/>
      <c r="F1" s="1463"/>
      <c r="G1" s="1464"/>
      <c r="H1" s="778"/>
      <c r="I1" s="778"/>
    </row>
    <row r="2" spans="1:9" ht="8.25" customHeight="1">
      <c r="A2" s="819"/>
      <c r="B2" s="819"/>
      <c r="C2" s="819"/>
      <c r="D2" s="819"/>
      <c r="E2" s="819"/>
      <c r="F2" s="819"/>
      <c r="G2" s="819"/>
      <c r="H2" s="778"/>
      <c r="I2" s="778"/>
    </row>
    <row r="3" spans="1:9" s="27" customFormat="1" ht="11.25" customHeight="1" thickBot="1">
      <c r="A3" s="746"/>
      <c r="B3" s="746"/>
      <c r="C3" s="746"/>
      <c r="D3" s="746"/>
    </row>
    <row r="4" spans="1:9" s="747" customFormat="1" ht="21.75" customHeight="1" thickBot="1">
      <c r="A4" s="1590" t="s">
        <v>423</v>
      </c>
      <c r="B4" s="1591"/>
      <c r="C4" s="1591"/>
      <c r="D4" s="1591"/>
      <c r="E4" s="1591"/>
      <c r="F4" s="1591"/>
      <c r="G4" s="1592"/>
      <c r="H4" s="727"/>
    </row>
    <row r="5" spans="1:9" ht="8.25" customHeight="1" thickBot="1">
      <c r="A5" s="1593"/>
      <c r="B5" s="1593"/>
      <c r="C5" s="1593"/>
      <c r="D5" s="1593"/>
      <c r="E5" s="1593"/>
      <c r="F5" s="1593"/>
      <c r="G5" s="1593"/>
      <c r="H5" s="79"/>
    </row>
    <row r="6" spans="1:9" ht="16.5" customHeight="1">
      <c r="A6" s="1465" t="s">
        <v>275</v>
      </c>
      <c r="B6" s="1466"/>
      <c r="C6" s="1466"/>
      <c r="D6" s="1466"/>
      <c r="E6" s="1466"/>
      <c r="F6" s="1466"/>
      <c r="G6" s="1467"/>
      <c r="H6" s="223"/>
    </row>
    <row r="7" spans="1:9" ht="18.75" customHeight="1" thickBot="1">
      <c r="A7" s="1468" t="s">
        <v>425</v>
      </c>
      <c r="B7" s="1469"/>
      <c r="C7" s="1469"/>
      <c r="D7" s="1469"/>
      <c r="E7" s="1469"/>
      <c r="F7" s="1469"/>
      <c r="G7" s="1470"/>
      <c r="H7" s="779"/>
    </row>
    <row r="8" spans="1:9" ht="15" customHeight="1">
      <c r="A8" s="1494" t="s">
        <v>422</v>
      </c>
      <c r="B8" s="1438"/>
      <c r="C8" s="1460" t="s">
        <v>133</v>
      </c>
      <c r="D8" s="1437" t="s">
        <v>372</v>
      </c>
      <c r="E8" s="1437" t="s">
        <v>295</v>
      </c>
      <c r="F8" s="1428" t="s">
        <v>389</v>
      </c>
      <c r="G8" s="1429"/>
      <c r="H8" s="79"/>
    </row>
    <row r="9" spans="1:9" ht="28" customHeight="1">
      <c r="A9" s="1495"/>
      <c r="B9" s="1440"/>
      <c r="C9" s="1461"/>
      <c r="D9" s="1439"/>
      <c r="E9" s="1439"/>
      <c r="F9" s="1430"/>
      <c r="G9" s="1431"/>
    </row>
    <row r="10" spans="1:9" ht="16" thickBot="1">
      <c r="A10" s="1496"/>
      <c r="B10" s="1436"/>
      <c r="C10" s="816">
        <v>40999</v>
      </c>
      <c r="D10" s="781" t="str">
        <f>'Løntabel gældende fra'!$D$1</f>
        <v>01/04/2019</v>
      </c>
      <c r="E10" s="781" t="str">
        <f>'Løntabel gældende fra'!$D$1</f>
        <v>01/04/2019</v>
      </c>
      <c r="F10" s="1434" t="s">
        <v>388</v>
      </c>
      <c r="G10" s="1427"/>
    </row>
    <row r="11" spans="1:9">
      <c r="A11" s="1369">
        <v>1</v>
      </c>
      <c r="B11" s="1370"/>
      <c r="C11" s="782">
        <v>285240</v>
      </c>
      <c r="D11" s="780">
        <f>C11*(1+'Løntabel gældende fra'!$D$7/100)</f>
        <v>309460.01363999996</v>
      </c>
      <c r="E11" s="780">
        <f>D11/12</f>
        <v>25788.334469999998</v>
      </c>
      <c r="F11" s="1452">
        <f>E11*0.168</f>
        <v>4332.4401909600001</v>
      </c>
      <c r="G11" s="1243"/>
    </row>
    <row r="12" spans="1:9">
      <c r="A12" s="1367">
        <v>2</v>
      </c>
      <c r="B12" s="1368"/>
      <c r="C12" s="738">
        <v>285240</v>
      </c>
      <c r="D12" s="713">
        <f>C12*(1+'Løntabel gældende fra'!$D$7/100)</f>
        <v>309460.01363999996</v>
      </c>
      <c r="E12" s="713">
        <f>D12/12</f>
        <v>25788.334469999998</v>
      </c>
      <c r="F12" s="1453">
        <f>E12*0.168</f>
        <v>4332.4401909600001</v>
      </c>
      <c r="G12" s="1144"/>
    </row>
    <row r="13" spans="1:9">
      <c r="A13" s="1367">
        <v>3</v>
      </c>
      <c r="B13" s="1368"/>
      <c r="C13" s="738">
        <v>307417</v>
      </c>
      <c r="D13" s="713">
        <f>C13*(1+'Løntabel gældende fra'!$D$7/100)</f>
        <v>333520.08488699998</v>
      </c>
      <c r="E13" s="713">
        <f>D13/12</f>
        <v>27793.340407249998</v>
      </c>
      <c r="F13" s="1453">
        <f>E13*0.168</f>
        <v>4669.2811884180001</v>
      </c>
      <c r="G13" s="1144"/>
    </row>
    <row r="14" spans="1:9">
      <c r="A14" s="1367">
        <v>4</v>
      </c>
      <c r="B14" s="1368"/>
      <c r="C14" s="738">
        <v>327643</v>
      </c>
      <c r="D14" s="713">
        <f>C14*(1+'Løntabel gældende fra'!$D$7/100)</f>
        <v>355463.49477300001</v>
      </c>
      <c r="E14" s="713">
        <f>D14/12</f>
        <v>29621.957897750002</v>
      </c>
      <c r="F14" s="1453">
        <f>E14*0.168</f>
        <v>4976.4889268220004</v>
      </c>
      <c r="G14" s="1144"/>
    </row>
    <row r="15" spans="1:9" ht="15" thickBot="1">
      <c r="A15" s="1412">
        <v>5</v>
      </c>
      <c r="B15" s="1413"/>
      <c r="C15" s="740">
        <v>347571</v>
      </c>
      <c r="D15" s="714">
        <f>C15*(1+'Løntabel gældende fra'!$D$7/100)</f>
        <v>377083.60118100001</v>
      </c>
      <c r="E15" s="714">
        <f>D15/12</f>
        <v>31423.63343175</v>
      </c>
      <c r="F15" s="1454">
        <f>E15*0.168</f>
        <v>5279.1704165340007</v>
      </c>
      <c r="G15" s="1245"/>
    </row>
    <row r="16" spans="1:9">
      <c r="A16" s="1599" t="s">
        <v>453</v>
      </c>
      <c r="B16" s="1599"/>
      <c r="C16" s="1599"/>
      <c r="D16" s="1599"/>
      <c r="E16" s="1599"/>
      <c r="F16" s="1599"/>
      <c r="G16" s="1599"/>
      <c r="H16" s="1599"/>
    </row>
    <row r="17" spans="1:9" ht="15" thickBot="1">
      <c r="I17" s="745"/>
    </row>
    <row r="18" spans="1:9" ht="15" thickBot="1">
      <c r="A18" s="1601" t="s">
        <v>468</v>
      </c>
      <c r="B18" s="1602"/>
      <c r="C18" s="1603"/>
      <c r="D18" s="1601" t="s">
        <v>443</v>
      </c>
      <c r="E18" s="1602"/>
      <c r="F18" s="1603"/>
      <c r="G18" s="743"/>
    </row>
    <row r="19" spans="1:9" ht="15" thickBot="1">
      <c r="A19" s="820" t="s">
        <v>444</v>
      </c>
      <c r="B19" s="1596" t="s">
        <v>97</v>
      </c>
      <c r="C19" s="1597"/>
      <c r="D19" s="820" t="s">
        <v>444</v>
      </c>
      <c r="E19" s="1596" t="s">
        <v>97</v>
      </c>
      <c r="F19" s="1598"/>
      <c r="G19" s="743"/>
    </row>
    <row r="20" spans="1:9" ht="15.75" customHeight="1">
      <c r="A20" s="821">
        <v>2</v>
      </c>
      <c r="B20" s="1594" t="s">
        <v>445</v>
      </c>
      <c r="C20" s="1600"/>
      <c r="D20" s="821">
        <v>1</v>
      </c>
      <c r="E20" s="1594" t="s">
        <v>448</v>
      </c>
      <c r="F20" s="1595"/>
      <c r="G20" s="743"/>
    </row>
    <row r="21" spans="1:9">
      <c r="A21" s="822">
        <v>4</v>
      </c>
      <c r="B21" s="1501" t="s">
        <v>446</v>
      </c>
      <c r="C21" s="1502"/>
      <c r="D21" s="822">
        <v>3</v>
      </c>
      <c r="E21" s="1501" t="s">
        <v>449</v>
      </c>
      <c r="F21" s="1564"/>
      <c r="G21" s="743"/>
    </row>
    <row r="22" spans="1:9" ht="15" thickBot="1">
      <c r="A22" s="823">
        <v>5</v>
      </c>
      <c r="B22" s="1526" t="s">
        <v>447</v>
      </c>
      <c r="C22" s="1565"/>
      <c r="D22" s="823">
        <v>5</v>
      </c>
      <c r="E22" s="1526" t="s">
        <v>450</v>
      </c>
      <c r="F22" s="1527"/>
      <c r="G22" s="743"/>
    </row>
    <row r="23" spans="1:9" ht="14" customHeight="1" thickBot="1">
      <c r="A23" s="742"/>
      <c r="B23" s="742"/>
      <c r="C23" s="743"/>
      <c r="D23" s="743"/>
      <c r="E23" s="744"/>
      <c r="F23" s="710"/>
      <c r="G23" s="710"/>
    </row>
    <row r="24" spans="1:9" ht="22.5" customHeight="1">
      <c r="A24" s="1465" t="s">
        <v>421</v>
      </c>
      <c r="B24" s="1466"/>
      <c r="C24" s="1466"/>
      <c r="D24" s="1466"/>
      <c r="E24" s="1466"/>
      <c r="F24" s="1466"/>
      <c r="G24" s="1467"/>
    </row>
    <row r="25" spans="1:9" ht="20.25" customHeight="1" thickBot="1">
      <c r="A25" s="1468" t="s">
        <v>425</v>
      </c>
      <c r="B25" s="1469"/>
      <c r="C25" s="1469"/>
      <c r="D25" s="1469"/>
      <c r="E25" s="1469"/>
      <c r="F25" s="1469"/>
      <c r="G25" s="1470"/>
    </row>
    <row r="26" spans="1:9" ht="15.75" customHeight="1">
      <c r="A26" s="1494" t="s">
        <v>95</v>
      </c>
      <c r="B26" s="1438"/>
      <c r="C26" s="1460" t="s">
        <v>133</v>
      </c>
      <c r="D26" s="1437" t="s">
        <v>372</v>
      </c>
      <c r="E26" s="1437" t="s">
        <v>295</v>
      </c>
      <c r="F26" s="1428" t="s">
        <v>389</v>
      </c>
      <c r="G26" s="1429"/>
    </row>
    <row r="27" spans="1:9" ht="15" customHeight="1">
      <c r="A27" s="1495"/>
      <c r="B27" s="1440"/>
      <c r="C27" s="1461"/>
      <c r="D27" s="1439"/>
      <c r="E27" s="1439"/>
      <c r="F27" s="1430"/>
      <c r="G27" s="1431"/>
    </row>
    <row r="28" spans="1:9" ht="16" thickBot="1">
      <c r="A28" s="1426"/>
      <c r="B28" s="1427"/>
      <c r="C28" s="816">
        <v>40999</v>
      </c>
      <c r="D28" s="781" t="str">
        <f>'Løntabel gældende fra'!$D$1</f>
        <v>01/04/2019</v>
      </c>
      <c r="E28" s="781" t="str">
        <f>'Løntabel gældende fra'!$D$1</f>
        <v>01/04/2019</v>
      </c>
      <c r="F28" s="1432">
        <v>0.16800000000000001</v>
      </c>
      <c r="G28" s="1433"/>
    </row>
    <row r="29" spans="1:9">
      <c r="A29" s="1528" t="s">
        <v>420</v>
      </c>
      <c r="B29" s="1529"/>
      <c r="C29" s="788">
        <v>38000</v>
      </c>
      <c r="D29" s="784">
        <f>C29*(1+'Løntabel gældende fra'!$D$7/100)</f>
        <v>41226.617999999995</v>
      </c>
      <c r="E29" s="784">
        <f t="shared" ref="E29:E35" si="0">D29/12</f>
        <v>3435.5514999999996</v>
      </c>
      <c r="F29" s="1481">
        <f t="shared" ref="F29:F35" si="1">E29*0.168</f>
        <v>577.17265199999997</v>
      </c>
      <c r="G29" s="1482"/>
    </row>
    <row r="30" spans="1:9" ht="14.25" customHeight="1">
      <c r="A30" s="1367" t="s">
        <v>419</v>
      </c>
      <c r="B30" s="1368"/>
      <c r="C30" s="783">
        <v>38000</v>
      </c>
      <c r="D30" s="716">
        <f>C30*(1+'Løntabel gældende fra'!$D$7/100)</f>
        <v>41226.617999999995</v>
      </c>
      <c r="E30" s="716">
        <f t="shared" si="0"/>
        <v>3435.5514999999996</v>
      </c>
      <c r="F30" s="1483">
        <f t="shared" si="1"/>
        <v>577.17265199999997</v>
      </c>
      <c r="G30" s="1484"/>
    </row>
    <row r="31" spans="1:9">
      <c r="A31" s="1367" t="s">
        <v>418</v>
      </c>
      <c r="B31" s="1368"/>
      <c r="C31" s="783">
        <v>50000</v>
      </c>
      <c r="D31" s="716">
        <f>C31*(1+'Løntabel gældende fra'!$D$7/100)</f>
        <v>54245.549999999996</v>
      </c>
      <c r="E31" s="716">
        <f t="shared" si="0"/>
        <v>4520.4624999999996</v>
      </c>
      <c r="F31" s="1483">
        <f t="shared" si="1"/>
        <v>759.43769999999995</v>
      </c>
      <c r="G31" s="1484"/>
    </row>
    <row r="32" spans="1:9">
      <c r="A32" s="1367" t="s">
        <v>417</v>
      </c>
      <c r="B32" s="1368"/>
      <c r="C32" s="783">
        <v>50000</v>
      </c>
      <c r="D32" s="716">
        <f>C32*(1+'Løntabel gældende fra'!$D$7/100)</f>
        <v>54245.549999999996</v>
      </c>
      <c r="E32" s="716">
        <f t="shared" si="0"/>
        <v>4520.4624999999996</v>
      </c>
      <c r="F32" s="1483">
        <f t="shared" si="1"/>
        <v>759.43769999999995</v>
      </c>
      <c r="G32" s="1484"/>
    </row>
    <row r="33" spans="1:7" ht="15" customHeight="1">
      <c r="A33" s="1359" t="s">
        <v>416</v>
      </c>
      <c r="B33" s="1360"/>
      <c r="C33" s="783">
        <v>50000</v>
      </c>
      <c r="D33" s="716">
        <f>C33*(1+'Løntabel gældende fra'!$D$7/100)</f>
        <v>54245.549999999996</v>
      </c>
      <c r="E33" s="716">
        <f t="shared" si="0"/>
        <v>4520.4624999999996</v>
      </c>
      <c r="F33" s="1483">
        <f t="shared" si="1"/>
        <v>759.43769999999995</v>
      </c>
      <c r="G33" s="1484"/>
    </row>
    <row r="34" spans="1:7" ht="15.75" customHeight="1">
      <c r="A34" s="1367" t="s">
        <v>442</v>
      </c>
      <c r="B34" s="1368"/>
      <c r="C34" s="783">
        <v>50000</v>
      </c>
      <c r="D34" s="716">
        <f>C34*(1+'Løntabel gældende fra'!$D$7/100)</f>
        <v>54245.549999999996</v>
      </c>
      <c r="E34" s="716">
        <f t="shared" si="0"/>
        <v>4520.4624999999996</v>
      </c>
      <c r="F34" s="1483">
        <f t="shared" si="1"/>
        <v>759.43769999999995</v>
      </c>
      <c r="G34" s="1484"/>
    </row>
    <row r="35" spans="1:7" ht="15.75" customHeight="1" thickBot="1">
      <c r="A35" s="1496" t="s">
        <v>415</v>
      </c>
      <c r="B35" s="1436"/>
      <c r="C35" s="739">
        <v>72500</v>
      </c>
      <c r="D35" s="717">
        <f>C35*(1+'Løntabel gældende fra'!$D$7/100)</f>
        <v>78656.047500000001</v>
      </c>
      <c r="E35" s="717">
        <f t="shared" si="0"/>
        <v>6554.6706249999997</v>
      </c>
      <c r="F35" s="1485">
        <f t="shared" si="1"/>
        <v>1101.184665</v>
      </c>
      <c r="G35" s="1486"/>
    </row>
    <row r="36" spans="1:7" ht="15.75" customHeight="1" thickBot="1">
      <c r="A36" s="741"/>
      <c r="B36" s="741"/>
      <c r="C36" s="741"/>
      <c r="D36" s="741"/>
      <c r="E36" s="741"/>
      <c r="F36" s="741"/>
      <c r="G36" s="741"/>
    </row>
    <row r="37" spans="1:7" ht="19.5" customHeight="1">
      <c r="A37" s="1139" t="s">
        <v>427</v>
      </c>
      <c r="B37" s="1276"/>
      <c r="C37" s="1276"/>
      <c r="D37" s="1276"/>
      <c r="E37" s="1276"/>
      <c r="F37" s="1276"/>
      <c r="G37" s="1277"/>
    </row>
    <row r="38" spans="1:7" ht="14" customHeight="1">
      <c r="A38" s="1475" t="s">
        <v>426</v>
      </c>
      <c r="B38" s="1476"/>
      <c r="C38" s="1476"/>
      <c r="D38" s="1476"/>
      <c r="E38" s="1476"/>
      <c r="F38" s="1476"/>
      <c r="G38" s="1477"/>
    </row>
    <row r="39" spans="1:7" ht="18" customHeight="1" thickBot="1">
      <c r="A39" s="1478"/>
      <c r="B39" s="1479"/>
      <c r="C39" s="1479"/>
      <c r="D39" s="1479"/>
      <c r="E39" s="1479"/>
      <c r="F39" s="1479"/>
      <c r="G39" s="1480"/>
    </row>
    <row r="40" spans="1:7" ht="19.5" customHeight="1" thickBot="1">
      <c r="A40" s="1472" t="s">
        <v>414</v>
      </c>
      <c r="B40" s="1473"/>
      <c r="C40" s="1473"/>
      <c r="D40" s="1473"/>
      <c r="E40" s="1473"/>
      <c r="F40" s="1473"/>
      <c r="G40" s="1474"/>
    </row>
    <row r="41" spans="1:7">
      <c r="A41" s="1515" t="s">
        <v>412</v>
      </c>
      <c r="B41" s="1516"/>
      <c r="C41" s="1516"/>
      <c r="D41" s="1429"/>
      <c r="E41" s="1460" t="s">
        <v>133</v>
      </c>
      <c r="F41" s="1437" t="s">
        <v>372</v>
      </c>
      <c r="G41" s="1438" t="s">
        <v>295</v>
      </c>
    </row>
    <row r="42" spans="1:7">
      <c r="A42" s="1517"/>
      <c r="B42" s="1518"/>
      <c r="C42" s="1518"/>
      <c r="D42" s="1519"/>
      <c r="E42" s="1461"/>
      <c r="F42" s="1439"/>
      <c r="G42" s="1440"/>
    </row>
    <row r="43" spans="1:7" ht="16" thickBot="1">
      <c r="A43" s="1520"/>
      <c r="B43" s="1521"/>
      <c r="C43" s="1521"/>
      <c r="D43" s="1522"/>
      <c r="E43" s="816">
        <v>40999</v>
      </c>
      <c r="F43" s="786" t="str">
        <f>'Løntabel gældende fra'!$D$1</f>
        <v>01/04/2019</v>
      </c>
      <c r="G43" s="855" t="str">
        <f>F43</f>
        <v>01/04/2019</v>
      </c>
    </row>
    <row r="44" spans="1:7">
      <c r="A44" s="1523">
        <v>-200</v>
      </c>
      <c r="B44" s="1524"/>
      <c r="C44" s="1524"/>
      <c r="D44" s="1525"/>
      <c r="E44" s="782">
        <v>18200</v>
      </c>
      <c r="F44" s="780">
        <f>E44*(1+'Løntabel gældende fra'!$D$7/100)</f>
        <v>19745.3802</v>
      </c>
      <c r="G44" s="416">
        <f>F44/12</f>
        <v>1645.4483499999999</v>
      </c>
    </row>
    <row r="45" spans="1:7">
      <c r="A45" s="1509" t="s">
        <v>411</v>
      </c>
      <c r="B45" s="1510"/>
      <c r="C45" s="1510"/>
      <c r="D45" s="1511"/>
      <c r="E45" s="738">
        <v>33300</v>
      </c>
      <c r="F45" s="713">
        <f>E45*(1+'Løntabel gældende fra'!$D$7/100)</f>
        <v>36127.5363</v>
      </c>
      <c r="G45" s="414">
        <f>F45/12</f>
        <v>3010.628025</v>
      </c>
    </row>
    <row r="46" spans="1:7">
      <c r="A46" s="1509" t="s">
        <v>410</v>
      </c>
      <c r="B46" s="1510"/>
      <c r="C46" s="1510"/>
      <c r="D46" s="1511"/>
      <c r="E46" s="738">
        <v>44000</v>
      </c>
      <c r="F46" s="713">
        <f>E46*(1+'Løntabel gældende fra'!$D$7/100)</f>
        <v>47736.083999999995</v>
      </c>
      <c r="G46" s="414">
        <f>F46/12</f>
        <v>3978.0069999999996</v>
      </c>
    </row>
    <row r="47" spans="1:7" ht="14" customHeight="1">
      <c r="A47" s="1509" t="s">
        <v>409</v>
      </c>
      <c r="B47" s="1510"/>
      <c r="C47" s="1510"/>
      <c r="D47" s="1511"/>
      <c r="E47" s="738">
        <v>54700</v>
      </c>
      <c r="F47" s="713">
        <f>E47*(1+'Løntabel gældende fra'!$D$7/100)</f>
        <v>59344.631699999998</v>
      </c>
      <c r="G47" s="414">
        <f>F47/12</f>
        <v>4945.3859750000001</v>
      </c>
    </row>
    <row r="48" spans="1:7" ht="15" thickBot="1">
      <c r="A48" s="1512" t="s">
        <v>408</v>
      </c>
      <c r="B48" s="1513"/>
      <c r="C48" s="1513"/>
      <c r="D48" s="1514"/>
      <c r="E48" s="740">
        <v>60700</v>
      </c>
      <c r="F48" s="714">
        <f>E48*(1+'Løntabel gældende fra'!$D$7/100)</f>
        <v>65854.097699999998</v>
      </c>
      <c r="G48" s="715">
        <f>F48/12</f>
        <v>5487.8414750000002</v>
      </c>
    </row>
    <row r="49" spans="1:10" ht="22.5" customHeight="1" thickBot="1">
      <c r="A49" s="1472" t="s">
        <v>413</v>
      </c>
      <c r="B49" s="1473"/>
      <c r="C49" s="1473"/>
      <c r="D49" s="1473"/>
      <c r="E49" s="1473"/>
      <c r="F49" s="1473"/>
      <c r="G49" s="1474"/>
    </row>
    <row r="50" spans="1:10">
      <c r="A50" s="1515" t="s">
        <v>412</v>
      </c>
      <c r="B50" s="1516"/>
      <c r="C50" s="1516"/>
      <c r="D50" s="1429"/>
      <c r="E50" s="1503" t="s">
        <v>133</v>
      </c>
      <c r="F50" s="1505" t="s">
        <v>372</v>
      </c>
      <c r="G50" s="1507" t="s">
        <v>295</v>
      </c>
    </row>
    <row r="51" spans="1:10">
      <c r="A51" s="1517"/>
      <c r="B51" s="1518"/>
      <c r="C51" s="1518"/>
      <c r="D51" s="1519"/>
      <c r="E51" s="1504"/>
      <c r="F51" s="1506"/>
      <c r="G51" s="1508"/>
    </row>
    <row r="52" spans="1:10" ht="16" thickBot="1">
      <c r="A52" s="1520"/>
      <c r="B52" s="1521"/>
      <c r="C52" s="1521"/>
      <c r="D52" s="1522"/>
      <c r="E52" s="816">
        <v>40999</v>
      </c>
      <c r="F52" s="786" t="str">
        <f>'Løntabel gældende fra'!$D$1</f>
        <v>01/04/2019</v>
      </c>
      <c r="G52" s="855" t="str">
        <f>F52</f>
        <v>01/04/2019</v>
      </c>
      <c r="J52" s="710"/>
    </row>
    <row r="53" spans="1:10">
      <c r="A53" s="1523">
        <v>-200</v>
      </c>
      <c r="B53" s="1524"/>
      <c r="C53" s="1524"/>
      <c r="D53" s="1525"/>
      <c r="E53" s="782">
        <v>12500</v>
      </c>
      <c r="F53" s="780">
        <f>E53*(1+'Løntabel gældende fra'!$D$7/100)</f>
        <v>13561.387499999999</v>
      </c>
      <c r="G53" s="416">
        <f>F53/12</f>
        <v>1130.1156249999999</v>
      </c>
      <c r="J53" s="712"/>
    </row>
    <row r="54" spans="1:10" ht="14" customHeight="1">
      <c r="A54" s="1509" t="s">
        <v>411</v>
      </c>
      <c r="B54" s="1510"/>
      <c r="C54" s="1510"/>
      <c r="D54" s="1511"/>
      <c r="E54" s="738">
        <v>13600</v>
      </c>
      <c r="F54" s="713">
        <f>E54*(1+'Løntabel gældende fra'!$D$7/100)</f>
        <v>14754.7896</v>
      </c>
      <c r="G54" s="414">
        <f>F54/12</f>
        <v>1229.5658000000001</v>
      </c>
    </row>
    <row r="55" spans="1:10" ht="15" customHeight="1">
      <c r="A55" s="1509" t="s">
        <v>410</v>
      </c>
      <c r="B55" s="1510"/>
      <c r="C55" s="1510"/>
      <c r="D55" s="1511"/>
      <c r="E55" s="738">
        <v>18200</v>
      </c>
      <c r="F55" s="713">
        <f>E55*(1+'Løntabel gældende fra'!$D$7/100)</f>
        <v>19745.3802</v>
      </c>
      <c r="G55" s="414">
        <f>F55/12</f>
        <v>1645.4483499999999</v>
      </c>
    </row>
    <row r="56" spans="1:10" ht="15" customHeight="1">
      <c r="A56" s="1509" t="s">
        <v>409</v>
      </c>
      <c r="B56" s="1510"/>
      <c r="C56" s="1510"/>
      <c r="D56" s="1511"/>
      <c r="E56" s="738">
        <v>25200</v>
      </c>
      <c r="F56" s="713">
        <f>E56*(1+'Løntabel gældende fra'!$D$7/100)</f>
        <v>27339.7572</v>
      </c>
      <c r="G56" s="414">
        <f>F56/12</f>
        <v>2278.3130999999998</v>
      </c>
    </row>
    <row r="57" spans="1:10" ht="16.5" customHeight="1" thickBot="1">
      <c r="A57" s="1512" t="s">
        <v>408</v>
      </c>
      <c r="B57" s="1513"/>
      <c r="C57" s="1513"/>
      <c r="D57" s="1514"/>
      <c r="E57" s="740">
        <v>28000</v>
      </c>
      <c r="F57" s="714">
        <f>E57*(1+'Løntabel gældende fra'!$D$7/100)</f>
        <v>30377.507999999998</v>
      </c>
      <c r="G57" s="715">
        <f>F57/12</f>
        <v>2531.4589999999998</v>
      </c>
    </row>
    <row r="58" spans="1:10" ht="15.75" customHeight="1" thickBot="1">
      <c r="A58" s="724"/>
      <c r="B58" s="724"/>
      <c r="C58" s="724"/>
      <c r="D58" s="724"/>
      <c r="E58" s="724"/>
      <c r="F58" s="724"/>
      <c r="G58" s="724"/>
    </row>
    <row r="59" spans="1:10" ht="17.25" customHeight="1">
      <c r="A59" s="1293" t="s">
        <v>407</v>
      </c>
      <c r="B59" s="1294"/>
      <c r="C59" s="1294"/>
      <c r="D59" s="1294"/>
      <c r="E59" s="1294"/>
      <c r="F59" s="1294"/>
      <c r="G59" s="1295"/>
    </row>
    <row r="60" spans="1:10" ht="17.25" customHeight="1" thickBot="1">
      <c r="A60" s="1306" t="s">
        <v>428</v>
      </c>
      <c r="B60" s="1307"/>
      <c r="C60" s="1307"/>
      <c r="D60" s="1307"/>
      <c r="E60" s="1307"/>
      <c r="F60" s="1307"/>
      <c r="G60" s="1308"/>
    </row>
    <row r="61" spans="1:10" ht="28" customHeight="1">
      <c r="A61" s="1494" t="s">
        <v>441</v>
      </c>
      <c r="B61" s="1437"/>
      <c r="C61" s="1438" t="s">
        <v>406</v>
      </c>
      <c r="D61" s="1460" t="s">
        <v>133</v>
      </c>
      <c r="E61" s="1437" t="s">
        <v>372</v>
      </c>
      <c r="F61" s="1455" t="s">
        <v>295</v>
      </c>
      <c r="G61" s="1492" t="s">
        <v>463</v>
      </c>
    </row>
    <row r="62" spans="1:10" ht="17.25" customHeight="1">
      <c r="A62" s="1495"/>
      <c r="B62" s="1439"/>
      <c r="C62" s="1440"/>
      <c r="D62" s="1461"/>
      <c r="E62" s="1439"/>
      <c r="F62" s="1456"/>
      <c r="G62" s="1493"/>
    </row>
    <row r="63" spans="1:10" ht="14" customHeight="1" thickBot="1">
      <c r="A63" s="1496"/>
      <c r="B63" s="1435"/>
      <c r="C63" s="1436"/>
      <c r="D63" s="815">
        <v>40999</v>
      </c>
      <c r="E63" s="786" t="str">
        <f>'Løntabel gældende fra'!$D$1</f>
        <v>01/04/2019</v>
      </c>
      <c r="F63" s="786" t="str">
        <f>E63</f>
        <v>01/04/2019</v>
      </c>
      <c r="G63" s="787">
        <v>0.16800000000000001</v>
      </c>
      <c r="H63" s="710"/>
    </row>
    <row r="64" spans="1:10" ht="14" customHeight="1">
      <c r="A64" s="1566" t="s">
        <v>405</v>
      </c>
      <c r="B64" s="1567"/>
      <c r="C64" s="789" t="s">
        <v>404</v>
      </c>
      <c r="D64" s="788">
        <v>4300</v>
      </c>
      <c r="E64" s="784">
        <f>D64*(1+'Løntabel gældende fra'!$D$7/100)</f>
        <v>4665.1172999999999</v>
      </c>
      <c r="F64" s="784">
        <f t="shared" ref="F64:F69" si="2">E64/12</f>
        <v>388.75977499999999</v>
      </c>
      <c r="G64" s="785">
        <f t="shared" ref="G64:G69" si="3">F64*0.168</f>
        <v>65.311642200000009</v>
      </c>
    </row>
    <row r="65" spans="1:9" ht="14.5" customHeight="1">
      <c r="A65" s="1194" t="s">
        <v>401</v>
      </c>
      <c r="B65" s="1563"/>
      <c r="C65" s="790" t="s">
        <v>403</v>
      </c>
      <c r="D65" s="783">
        <v>6900</v>
      </c>
      <c r="E65" s="716">
        <f>D65*(1+'Løntabel gældende fra'!$D$7/100)</f>
        <v>7485.8858999999993</v>
      </c>
      <c r="F65" s="716">
        <f t="shared" si="2"/>
        <v>623.82382499999994</v>
      </c>
      <c r="G65" s="720">
        <f t="shared" si="3"/>
        <v>104.80240259999999</v>
      </c>
    </row>
    <row r="66" spans="1:9" ht="14" customHeight="1">
      <c r="A66" s="1194" t="s">
        <v>401</v>
      </c>
      <c r="B66" s="1563"/>
      <c r="C66" s="790" t="s">
        <v>402</v>
      </c>
      <c r="D66" s="738">
        <v>12600</v>
      </c>
      <c r="E66" s="716">
        <f>D66*(1+'Løntabel gældende fra'!$D$7/100)</f>
        <v>13669.8786</v>
      </c>
      <c r="F66" s="716">
        <f t="shared" si="2"/>
        <v>1139.1565499999999</v>
      </c>
      <c r="G66" s="720">
        <f t="shared" si="3"/>
        <v>191.3783004</v>
      </c>
    </row>
    <row r="67" spans="1:9" ht="15.75" customHeight="1">
      <c r="A67" s="1194" t="s">
        <v>401</v>
      </c>
      <c r="B67" s="1563"/>
      <c r="C67" s="790" t="s">
        <v>400</v>
      </c>
      <c r="D67" s="738">
        <v>19500</v>
      </c>
      <c r="E67" s="716">
        <f>D67*(1+'Løntabel gældende fra'!$D$7/100)</f>
        <v>21155.764499999997</v>
      </c>
      <c r="F67" s="716">
        <f t="shared" si="2"/>
        <v>1762.9803749999999</v>
      </c>
      <c r="G67" s="720">
        <f t="shared" si="3"/>
        <v>296.18070299999999</v>
      </c>
    </row>
    <row r="68" spans="1:9" ht="32.25" customHeight="1">
      <c r="A68" s="1194" t="s">
        <v>398</v>
      </c>
      <c r="B68" s="1563"/>
      <c r="C68" s="791" t="s">
        <v>399</v>
      </c>
      <c r="D68" s="783">
        <v>19500</v>
      </c>
      <c r="E68" s="716">
        <f>D68*(1+'Løntabel gældende fra'!$D$7/100)</f>
        <v>21155.764499999997</v>
      </c>
      <c r="F68" s="716">
        <f t="shared" si="2"/>
        <v>1762.9803749999999</v>
      </c>
      <c r="G68" s="720">
        <f t="shared" si="3"/>
        <v>296.18070299999999</v>
      </c>
    </row>
    <row r="69" spans="1:9" ht="29.25" customHeight="1" thickBot="1">
      <c r="A69" s="1588" t="s">
        <v>398</v>
      </c>
      <c r="B69" s="1589"/>
      <c r="C69" s="792" t="s">
        <v>452</v>
      </c>
      <c r="D69" s="739">
        <v>39000</v>
      </c>
      <c r="E69" s="717">
        <f>D69*(1+'Løntabel gældende fra'!$D$7/100)</f>
        <v>42311.528999999995</v>
      </c>
      <c r="F69" s="717">
        <f t="shared" si="2"/>
        <v>3525.9607499999997</v>
      </c>
      <c r="G69" s="718">
        <f t="shared" si="3"/>
        <v>592.36140599999999</v>
      </c>
    </row>
    <row r="70" spans="1:9" ht="14" customHeight="1" thickBot="1">
      <c r="A70" s="725"/>
      <c r="B70" s="725"/>
      <c r="C70" s="725"/>
      <c r="D70" s="725"/>
      <c r="E70" s="725"/>
      <c r="F70" s="725"/>
      <c r="G70" s="725"/>
      <c r="H70" s="710"/>
      <c r="I70" s="710"/>
    </row>
    <row r="71" spans="1:9" ht="16.5" customHeight="1">
      <c r="A71" s="1293" t="s">
        <v>397</v>
      </c>
      <c r="B71" s="1294"/>
      <c r="C71" s="1294"/>
      <c r="D71" s="1294"/>
      <c r="E71" s="1294"/>
      <c r="F71" s="1294"/>
      <c r="G71" s="1295"/>
    </row>
    <row r="72" spans="1:9" ht="16" customHeight="1" thickBot="1">
      <c r="A72" s="1552" t="s">
        <v>429</v>
      </c>
      <c r="B72" s="1553"/>
      <c r="C72" s="1553"/>
      <c r="D72" s="1553"/>
      <c r="E72" s="1553"/>
      <c r="F72" s="1553"/>
      <c r="G72" s="1554"/>
    </row>
    <row r="73" spans="1:9" ht="16.5" customHeight="1">
      <c r="A73" s="1515" t="s">
        <v>133</v>
      </c>
      <c r="B73" s="1555"/>
      <c r="C73" s="1428" t="s">
        <v>372</v>
      </c>
      <c r="D73" s="1555"/>
      <c r="E73" s="1437" t="s">
        <v>389</v>
      </c>
      <c r="F73" s="1437"/>
      <c r="G73" s="1438"/>
    </row>
    <row r="74" spans="1:9" ht="15" customHeight="1">
      <c r="A74" s="1556"/>
      <c r="B74" s="1557"/>
      <c r="C74" s="1430"/>
      <c r="D74" s="1557"/>
      <c r="E74" s="1439"/>
      <c r="F74" s="1439"/>
      <c r="G74" s="1440"/>
    </row>
    <row r="75" spans="1:9" ht="15" thickBot="1">
      <c r="A75" s="1497">
        <v>40999</v>
      </c>
      <c r="B75" s="1498"/>
      <c r="C75" s="1499" t="str">
        <f>'Løntabel gældende fra'!$D$1</f>
        <v>01/04/2019</v>
      </c>
      <c r="D75" s="1500"/>
      <c r="E75" s="1435" t="s">
        <v>388</v>
      </c>
      <c r="F75" s="1435"/>
      <c r="G75" s="1436"/>
    </row>
    <row r="76" spans="1:9" ht="21.75" customHeight="1" thickBot="1">
      <c r="A76" s="1457">
        <v>21900</v>
      </c>
      <c r="B76" s="1458"/>
      <c r="C76" s="1459">
        <f>A76*(1+'Løntabel gældende fra'!$D$7/100)</f>
        <v>23759.550899999998</v>
      </c>
      <c r="D76" s="1458"/>
      <c r="E76" s="1487">
        <f>C76*0.168</f>
        <v>3991.6045512000001</v>
      </c>
      <c r="F76" s="1487"/>
      <c r="G76" s="1488"/>
    </row>
    <row r="77" spans="1:9" ht="16.5" customHeight="1">
      <c r="A77" s="7" t="s">
        <v>396</v>
      </c>
      <c r="B77" s="719"/>
      <c r="C77" s="719"/>
      <c r="D77" s="719"/>
      <c r="E77" s="719"/>
      <c r="F77" s="719"/>
      <c r="G77" s="719"/>
    </row>
    <row r="78" spans="1:9" ht="21" customHeight="1" thickBot="1">
      <c r="A78" s="14"/>
      <c r="B78" s="14"/>
      <c r="C78" s="14"/>
      <c r="D78" s="14"/>
      <c r="E78" s="14"/>
      <c r="F78" s="14"/>
      <c r="G78" s="14"/>
    </row>
    <row r="79" spans="1:9" ht="19.5" customHeight="1">
      <c r="A79" s="1622" t="s">
        <v>395</v>
      </c>
      <c r="B79" s="1623"/>
      <c r="C79" s="1623"/>
      <c r="D79" s="1623"/>
      <c r="E79" s="1623"/>
      <c r="F79" s="1623"/>
      <c r="G79" s="1624"/>
    </row>
    <row r="80" spans="1:9" ht="20.25" customHeight="1" thickBot="1">
      <c r="A80" s="1552" t="s">
        <v>430</v>
      </c>
      <c r="B80" s="1553"/>
      <c r="C80" s="1553"/>
      <c r="D80" s="1553"/>
      <c r="E80" s="1553"/>
      <c r="F80" s="1553"/>
      <c r="G80" s="1554"/>
    </row>
    <row r="81" spans="1:10" ht="12.75" customHeight="1">
      <c r="A81" s="1625" t="s">
        <v>133</v>
      </c>
      <c r="B81" s="1626"/>
      <c r="C81" s="1626"/>
      <c r="D81" s="1627"/>
      <c r="E81" s="1635" t="s">
        <v>372</v>
      </c>
      <c r="F81" s="1636"/>
      <c r="G81" s="1637"/>
    </row>
    <row r="82" spans="1:10" ht="11.25" customHeight="1">
      <c r="A82" s="1628"/>
      <c r="B82" s="1629"/>
      <c r="C82" s="1629"/>
      <c r="D82" s="1630"/>
      <c r="E82" s="1638"/>
      <c r="F82" s="1639"/>
      <c r="G82" s="1640"/>
    </row>
    <row r="83" spans="1:10" ht="12.75" customHeight="1" thickBot="1">
      <c r="A83" s="1631">
        <v>40999</v>
      </c>
      <c r="B83" s="1632"/>
      <c r="C83" s="1632"/>
      <c r="D83" s="1633"/>
      <c r="E83" s="1641" t="str">
        <f>'Løntabel gældende fra'!$D$1</f>
        <v>01/04/2019</v>
      </c>
      <c r="F83" s="1642"/>
      <c r="G83" s="1643"/>
      <c r="J83" s="711"/>
    </row>
    <row r="84" spans="1:10" ht="17.25" customHeight="1" thickBot="1">
      <c r="A84" s="1457">
        <v>8800</v>
      </c>
      <c r="B84" s="1634"/>
      <c r="C84" s="1634"/>
      <c r="D84" s="1458"/>
      <c r="E84" s="1459">
        <f>A84*(1+'Løntabel gældende fra'!$D$7/100)</f>
        <v>9547.2168000000001</v>
      </c>
      <c r="F84" s="1634"/>
      <c r="G84" s="1644"/>
      <c r="J84" s="710"/>
    </row>
    <row r="85" spans="1:10" s="27" customFormat="1" ht="17.25" customHeight="1" thickBot="1">
      <c r="A85" s="240"/>
      <c r="B85" s="240"/>
      <c r="C85" s="240"/>
      <c r="D85" s="240"/>
      <c r="E85" s="240"/>
      <c r="F85" s="240"/>
      <c r="G85" s="240"/>
      <c r="J85" s="710"/>
    </row>
    <row r="86" spans="1:10" ht="21" customHeight="1" thickBot="1">
      <c r="A86" s="1568" t="s">
        <v>431</v>
      </c>
      <c r="B86" s="1569"/>
      <c r="C86" s="1569"/>
      <c r="D86" s="1569"/>
      <c r="E86" s="1569"/>
      <c r="F86" s="1569"/>
      <c r="G86" s="1570"/>
      <c r="J86" s="710"/>
    </row>
    <row r="87" spans="1:10" s="27" customFormat="1" ht="12.75" customHeight="1" thickBot="1">
      <c r="A87" s="735"/>
      <c r="B87" s="735"/>
      <c r="C87" s="735"/>
      <c r="D87" s="735"/>
      <c r="E87" s="735"/>
      <c r="F87" s="735"/>
      <c r="G87" s="735"/>
    </row>
    <row r="88" spans="1:10" ht="17.25" customHeight="1">
      <c r="A88" s="1571" t="s">
        <v>385</v>
      </c>
      <c r="B88" s="1572"/>
      <c r="C88" s="1572"/>
      <c r="D88" s="1572"/>
      <c r="E88" s="1572"/>
      <c r="F88" s="1572"/>
      <c r="G88" s="1573"/>
      <c r="H88" s="27"/>
    </row>
    <row r="89" spans="1:10" ht="17" thickBot="1">
      <c r="A89" s="1545" t="s">
        <v>451</v>
      </c>
      <c r="B89" s="1546"/>
      <c r="C89" s="1546"/>
      <c r="D89" s="1546"/>
      <c r="E89" s="1547"/>
      <c r="F89" s="1547"/>
      <c r="G89" s="1548"/>
      <c r="H89" s="27"/>
    </row>
    <row r="90" spans="1:10" ht="15" customHeight="1">
      <c r="A90" s="1549" t="s">
        <v>57</v>
      </c>
      <c r="B90" s="1561" t="s">
        <v>133</v>
      </c>
      <c r="C90" s="1445" t="s">
        <v>372</v>
      </c>
      <c r="D90" s="1648" t="s">
        <v>435</v>
      </c>
      <c r="E90" s="1444" t="s">
        <v>94</v>
      </c>
      <c r="F90" s="1445"/>
      <c r="G90" s="1446"/>
      <c r="H90" s="761"/>
      <c r="I90" s="761"/>
    </row>
    <row r="91" spans="1:10" ht="14" customHeight="1">
      <c r="A91" s="1550"/>
      <c r="B91" s="1562"/>
      <c r="C91" s="1448"/>
      <c r="D91" s="1649"/>
      <c r="E91" s="1447"/>
      <c r="F91" s="1448"/>
      <c r="G91" s="1449"/>
    </row>
    <row r="92" spans="1:10" ht="15.75" customHeight="1" thickBot="1">
      <c r="A92" s="1551"/>
      <c r="B92" s="798">
        <v>40999</v>
      </c>
      <c r="C92" s="799" t="str">
        <f>'Løntabel gældende fra'!$D$1</f>
        <v>01/04/2019</v>
      </c>
      <c r="D92" s="856" t="str">
        <f>C92</f>
        <v>01/04/2019</v>
      </c>
      <c r="E92" s="1441" t="s">
        <v>384</v>
      </c>
      <c r="F92" s="1442"/>
      <c r="G92" s="1443"/>
    </row>
    <row r="93" spans="1:10" ht="17.25" customHeight="1" thickBot="1">
      <c r="A93" s="794">
        <v>50</v>
      </c>
      <c r="B93" s="793">
        <v>521094</v>
      </c>
      <c r="C93" s="795">
        <f>B93*(1+'Løntabel gældende fra'!$D$7/100)</f>
        <v>565340.61263400002</v>
      </c>
      <c r="D93" s="796">
        <f>C93/12</f>
        <v>47111.717719500004</v>
      </c>
      <c r="E93" s="1489">
        <f>D93*0.171</f>
        <v>8056.1037300345015</v>
      </c>
      <c r="F93" s="1490"/>
      <c r="G93" s="1491"/>
    </row>
    <row r="94" spans="1:10" ht="20.25" customHeight="1">
      <c r="A94" s="1532" t="s">
        <v>467</v>
      </c>
      <c r="B94" s="1532"/>
      <c r="C94" s="1532"/>
      <c r="D94" s="1532"/>
      <c r="E94" s="1533"/>
      <c r="F94" s="1533"/>
      <c r="G94" s="1533"/>
      <c r="H94" s="710"/>
      <c r="I94" s="710"/>
    </row>
    <row r="95" spans="1:10" ht="32.25" customHeight="1" thickBot="1">
      <c r="A95" s="1534"/>
      <c r="B95" s="1534"/>
      <c r="C95" s="1534"/>
      <c r="D95" s="1534"/>
      <c r="E95" s="1534"/>
      <c r="F95" s="1534"/>
      <c r="G95" s="1534"/>
      <c r="H95" s="710"/>
      <c r="I95" s="710"/>
    </row>
    <row r="96" spans="1:10" ht="21.75" customHeight="1" thickBot="1">
      <c r="A96" s="1645" t="s">
        <v>394</v>
      </c>
      <c r="B96" s="1646"/>
      <c r="C96" s="1646"/>
      <c r="D96" s="1646"/>
      <c r="E96" s="1646"/>
      <c r="F96" s="1646"/>
      <c r="G96" s="1647"/>
      <c r="H96" s="711"/>
    </row>
    <row r="97" spans="1:8" ht="12.75" customHeight="1">
      <c r="A97" s="1576" t="s">
        <v>393</v>
      </c>
      <c r="B97" s="1579" t="s">
        <v>432</v>
      </c>
      <c r="C97" s="1580"/>
      <c r="D97" s="1581"/>
      <c r="E97" s="1535" t="s">
        <v>432</v>
      </c>
      <c r="F97" s="1536"/>
      <c r="G97" s="1537"/>
      <c r="H97" s="710"/>
    </row>
    <row r="98" spans="1:8" ht="21" customHeight="1">
      <c r="A98" s="1577"/>
      <c r="B98" s="1582">
        <v>40999</v>
      </c>
      <c r="C98" s="1583"/>
      <c r="D98" s="1584"/>
      <c r="E98" s="1538" t="str">
        <f>'Løntabel gældende fra'!$D$1</f>
        <v>01/04/2019</v>
      </c>
      <c r="F98" s="1539"/>
      <c r="G98" s="1540"/>
    </row>
    <row r="99" spans="1:8" ht="16.5" customHeight="1">
      <c r="A99" s="1577"/>
      <c r="B99" s="1585"/>
      <c r="C99" s="1586"/>
      <c r="D99" s="1587"/>
      <c r="E99" s="1541"/>
      <c r="F99" s="1542"/>
      <c r="G99" s="1543"/>
    </row>
    <row r="100" spans="1:8" ht="19.5" customHeight="1" thickBot="1">
      <c r="A100" s="1578"/>
      <c r="B100" s="1653" t="s">
        <v>433</v>
      </c>
      <c r="C100" s="1544"/>
      <c r="D100" s="805" t="s">
        <v>434</v>
      </c>
      <c r="E100" s="1544" t="s">
        <v>433</v>
      </c>
      <c r="F100" s="1544"/>
      <c r="G100" s="806" t="s">
        <v>434</v>
      </c>
    </row>
    <row r="101" spans="1:8" ht="14.25" customHeight="1">
      <c r="A101" s="814">
        <v>1</v>
      </c>
      <c r="B101" s="1654">
        <v>485345</v>
      </c>
      <c r="C101" s="1655"/>
      <c r="D101" s="803">
        <v>511173</v>
      </c>
      <c r="E101" s="1574">
        <f>B101*(1+'Løntabel gældende fra'!$D$7/100)</f>
        <v>526556.12929499999</v>
      </c>
      <c r="F101" s="1574"/>
      <c r="G101" s="804">
        <f>D101*(1+'Løntabel gældende fra'!$D$7/100)</f>
        <v>554577.21060300001</v>
      </c>
    </row>
    <row r="102" spans="1:8" ht="17" thickBot="1">
      <c r="A102" s="802">
        <v>2</v>
      </c>
      <c r="B102" s="1530">
        <v>450909</v>
      </c>
      <c r="C102" s="1531"/>
      <c r="D102" s="800">
        <v>472431</v>
      </c>
      <c r="E102" s="1575">
        <f>B102*(1+'Løntabel gældende fra'!$D$7/100)</f>
        <v>489196.13409899996</v>
      </c>
      <c r="F102" s="1575"/>
      <c r="G102" s="801">
        <f>D102*(1+'Løntabel gældende fra'!$D$7/100)</f>
        <v>512545.58864099998</v>
      </c>
    </row>
    <row r="103" spans="1:8">
      <c r="A103" s="1471" t="s">
        <v>466</v>
      </c>
      <c r="B103" s="1471"/>
      <c r="C103" s="1471"/>
      <c r="D103" s="1471"/>
      <c r="E103" s="1471"/>
      <c r="F103" s="1471"/>
      <c r="G103" s="1471"/>
    </row>
    <row r="104" spans="1:8" ht="18" customHeight="1" thickBot="1">
      <c r="A104" s="27"/>
    </row>
    <row r="105" spans="1:8" ht="19" thickBot="1">
      <c r="A105" s="1650" t="s">
        <v>392</v>
      </c>
      <c r="B105" s="1651"/>
      <c r="C105" s="1651"/>
      <c r="D105" s="1651"/>
      <c r="E105" s="1651"/>
      <c r="F105" s="1651"/>
      <c r="G105" s="1652"/>
    </row>
    <row r="106" spans="1:8" ht="26.25" customHeight="1">
      <c r="A106" s="1558" t="s">
        <v>275</v>
      </c>
      <c r="B106" s="1444" t="s">
        <v>133</v>
      </c>
      <c r="C106" s="1445" t="s">
        <v>372</v>
      </c>
      <c r="D106" s="1614" t="s">
        <v>295</v>
      </c>
      <c r="E106" s="1445" t="s">
        <v>389</v>
      </c>
      <c r="F106" s="1445"/>
      <c r="G106" s="1446"/>
    </row>
    <row r="107" spans="1:8" ht="21.75" customHeight="1">
      <c r="A107" s="1559"/>
      <c r="B107" s="1447"/>
      <c r="C107" s="1448"/>
      <c r="D107" s="1615"/>
      <c r="E107" s="1448"/>
      <c r="F107" s="1448"/>
      <c r="G107" s="1449"/>
    </row>
    <row r="108" spans="1:8" ht="18" customHeight="1" thickBot="1">
      <c r="A108" s="1559"/>
      <c r="B108" s="808">
        <v>40999</v>
      </c>
      <c r="C108" s="799" t="str">
        <f>'Løntabel gældende fra'!$D$1</f>
        <v>01/04/2019</v>
      </c>
      <c r="D108" s="799" t="str">
        <f>C108</f>
        <v>01/04/2019</v>
      </c>
      <c r="E108" s="1450" t="s">
        <v>388</v>
      </c>
      <c r="F108" s="1450"/>
      <c r="G108" s="1451"/>
    </row>
    <row r="109" spans="1:8" ht="17.25" customHeight="1" thickBot="1">
      <c r="A109" s="1560"/>
      <c r="B109" s="807">
        <v>460000</v>
      </c>
      <c r="C109" s="797">
        <f>B109*(1+'Løntabel gældende fra'!$D$7/100)</f>
        <v>499059.06</v>
      </c>
      <c r="D109" s="796">
        <f>C109/12</f>
        <v>41588.254999999997</v>
      </c>
      <c r="E109" s="1616">
        <f>D109*0.168</f>
        <v>6986.8268399999997</v>
      </c>
      <c r="F109" s="1617"/>
      <c r="G109" s="1618"/>
    </row>
    <row r="110" spans="1:8" ht="17.25" customHeight="1" thickBot="1">
      <c r="A110" s="748"/>
      <c r="B110" s="736"/>
      <c r="C110" s="736"/>
      <c r="D110" s="736"/>
      <c r="E110" s="737"/>
      <c r="F110" s="737"/>
      <c r="G110" s="737"/>
    </row>
    <row r="111" spans="1:8" ht="17.25" customHeight="1">
      <c r="A111" s="1619" t="s">
        <v>391</v>
      </c>
      <c r="B111" s="1620"/>
      <c r="C111" s="1620"/>
      <c r="D111" s="1620"/>
      <c r="E111" s="1620"/>
      <c r="F111" s="1620"/>
      <c r="G111" s="1621"/>
    </row>
    <row r="112" spans="1:8" ht="19.5" customHeight="1" thickBot="1">
      <c r="A112" s="1604" t="s">
        <v>390</v>
      </c>
      <c r="B112" s="1605"/>
      <c r="C112" s="1605"/>
      <c r="D112" s="1605"/>
      <c r="E112" s="1605"/>
      <c r="F112" s="1605"/>
      <c r="G112" s="1606"/>
    </row>
    <row r="113" spans="1:9" ht="20.25" customHeight="1">
      <c r="A113" s="1549" t="s">
        <v>117</v>
      </c>
      <c r="B113" s="1608" t="s">
        <v>133</v>
      </c>
      <c r="C113" s="1610" t="s">
        <v>372</v>
      </c>
      <c r="D113" s="1612" t="s">
        <v>295</v>
      </c>
      <c r="E113" s="1445" t="s">
        <v>389</v>
      </c>
      <c r="F113" s="1445"/>
      <c r="G113" s="1446"/>
    </row>
    <row r="114" spans="1:9" ht="20.25" customHeight="1">
      <c r="A114" s="1607"/>
      <c r="B114" s="1609"/>
      <c r="C114" s="1611"/>
      <c r="D114" s="1613"/>
      <c r="E114" s="1448"/>
      <c r="F114" s="1448"/>
      <c r="G114" s="1449"/>
    </row>
    <row r="115" spans="1:9" ht="21" customHeight="1" thickBot="1">
      <c r="A115" s="813"/>
      <c r="B115" s="798">
        <v>40999</v>
      </c>
      <c r="C115" s="799" t="str">
        <f>'Løntabel gældende fra'!$D$1</f>
        <v>01/04/2019</v>
      </c>
      <c r="D115" s="799" t="str">
        <f>C115</f>
        <v>01/04/2019</v>
      </c>
      <c r="E115" s="1442" t="s">
        <v>388</v>
      </c>
      <c r="F115" s="1442"/>
      <c r="G115" s="1443"/>
    </row>
    <row r="116" spans="1:9" ht="19.5" customHeight="1">
      <c r="A116" s="811" t="s">
        <v>387</v>
      </c>
      <c r="B116" s="809">
        <v>131590</v>
      </c>
      <c r="C116" s="825">
        <f>B116*(1+'Løntabel gældende fra'!$D$7/100)</f>
        <v>142763.43849</v>
      </c>
      <c r="D116" s="825">
        <f>C116/12</f>
        <v>11896.953207500001</v>
      </c>
      <c r="E116" s="1422">
        <f>D116*0.168</f>
        <v>1998.6881388600002</v>
      </c>
      <c r="F116" s="1422"/>
      <c r="G116" s="1423"/>
    </row>
    <row r="117" spans="1:9" ht="15.75" customHeight="1" thickBot="1">
      <c r="A117" s="812" t="s">
        <v>386</v>
      </c>
      <c r="B117" s="810">
        <v>150988</v>
      </c>
      <c r="C117" s="824">
        <f>B117*(1+'Løntabel gældende fra'!$D$7/100)</f>
        <v>163808.54206799998</v>
      </c>
      <c r="D117" s="824">
        <f>C117/12</f>
        <v>13650.711838999998</v>
      </c>
      <c r="E117" s="1424">
        <f>D117*0.168</f>
        <v>2293.3195889519998</v>
      </c>
      <c r="F117" s="1424"/>
      <c r="G117" s="1425"/>
    </row>
    <row r="118" spans="1:9">
      <c r="A118" s="830" t="s">
        <v>439</v>
      </c>
      <c r="B118" s="732"/>
      <c r="C118" s="732"/>
      <c r="D118" s="732"/>
      <c r="E118" s="732"/>
      <c r="F118" s="732"/>
      <c r="G118" s="732"/>
      <c r="H118" s="734"/>
      <c r="I118" s="734"/>
    </row>
    <row r="119" spans="1:9" ht="15" customHeight="1" thickBot="1"/>
    <row r="120" spans="1:9" ht="19" thickBot="1">
      <c r="A120" s="1172" t="s">
        <v>486</v>
      </c>
      <c r="B120" s="1173"/>
      <c r="C120" s="1173"/>
      <c r="D120" s="1173"/>
      <c r="E120" s="1173"/>
      <c r="F120" s="1229"/>
    </row>
    <row r="121" spans="1:9" ht="16" customHeight="1" thickBot="1">
      <c r="A121" s="869"/>
      <c r="B121" s="872"/>
      <c r="C121" s="1664" t="s">
        <v>37</v>
      </c>
      <c r="D121" s="1664"/>
      <c r="E121" s="1664"/>
      <c r="F121" s="1665"/>
    </row>
    <row r="122" spans="1:9" ht="14" customHeight="1">
      <c r="A122" s="870"/>
      <c r="B122" s="873"/>
      <c r="C122" s="1662" t="s">
        <v>34</v>
      </c>
      <c r="D122" s="1662" t="s">
        <v>106</v>
      </c>
      <c r="E122" s="1662" t="s">
        <v>107</v>
      </c>
      <c r="F122" s="1662" t="s">
        <v>108</v>
      </c>
    </row>
    <row r="123" spans="1:9" ht="32" customHeight="1" thickBot="1">
      <c r="A123" s="871"/>
      <c r="B123" s="874"/>
      <c r="C123" s="1663"/>
      <c r="D123" s="1663"/>
      <c r="E123" s="1663"/>
      <c r="F123" s="1663"/>
    </row>
    <row r="124" spans="1:9" ht="15" customHeight="1">
      <c r="A124" s="1656" t="s">
        <v>35</v>
      </c>
      <c r="B124" s="1657"/>
      <c r="C124" s="861">
        <v>83.85</v>
      </c>
      <c r="D124" s="875">
        <v>55.9</v>
      </c>
      <c r="E124" s="862">
        <v>27.95</v>
      </c>
      <c r="F124" s="867">
        <v>0</v>
      </c>
    </row>
    <row r="125" spans="1:9" ht="16" customHeight="1" thickBot="1">
      <c r="A125" s="1658" t="s">
        <v>36</v>
      </c>
      <c r="B125" s="1659"/>
      <c r="C125" s="863">
        <v>167.75</v>
      </c>
      <c r="D125" s="876">
        <v>111.85</v>
      </c>
      <c r="E125" s="864">
        <v>55.9</v>
      </c>
      <c r="F125" s="867">
        <v>0</v>
      </c>
    </row>
    <row r="126" spans="1:9" ht="16" customHeight="1" thickBot="1">
      <c r="A126" s="1660" t="s">
        <v>22</v>
      </c>
      <c r="B126" s="1661"/>
      <c r="C126" s="865">
        <v>251.6</v>
      </c>
      <c r="D126" s="877">
        <v>167.75</v>
      </c>
      <c r="E126" s="866">
        <v>83.85</v>
      </c>
      <c r="F126" s="868">
        <v>0</v>
      </c>
    </row>
  </sheetData>
  <sheetProtection sheet="1" objects="1" scenarios="1"/>
  <mergeCells count="161">
    <mergeCell ref="A124:B124"/>
    <mergeCell ref="A125:B125"/>
    <mergeCell ref="A126:B126"/>
    <mergeCell ref="C122:C123"/>
    <mergeCell ref="D122:D123"/>
    <mergeCell ref="E122:E123"/>
    <mergeCell ref="F122:F123"/>
    <mergeCell ref="A120:F120"/>
    <mergeCell ref="C121:F121"/>
    <mergeCell ref="A112:G112"/>
    <mergeCell ref="A113:A114"/>
    <mergeCell ref="B113:B114"/>
    <mergeCell ref="C113:C114"/>
    <mergeCell ref="D113:D114"/>
    <mergeCell ref="D106:D107"/>
    <mergeCell ref="E109:G109"/>
    <mergeCell ref="A71:G71"/>
    <mergeCell ref="A111:G111"/>
    <mergeCell ref="A79:G79"/>
    <mergeCell ref="A80:G80"/>
    <mergeCell ref="A81:D82"/>
    <mergeCell ref="A83:D83"/>
    <mergeCell ref="A84:D84"/>
    <mergeCell ref="E81:G82"/>
    <mergeCell ref="E83:G83"/>
    <mergeCell ref="E84:G84"/>
    <mergeCell ref="A96:G96"/>
    <mergeCell ref="C90:C91"/>
    <mergeCell ref="D90:D91"/>
    <mergeCell ref="A105:G105"/>
    <mergeCell ref="B106:B107"/>
    <mergeCell ref="B100:C100"/>
    <mergeCell ref="B101:C101"/>
    <mergeCell ref="A4:G4"/>
    <mergeCell ref="A5:G5"/>
    <mergeCell ref="E20:F20"/>
    <mergeCell ref="B19:C19"/>
    <mergeCell ref="E19:F19"/>
    <mergeCell ref="A8:B10"/>
    <mergeCell ref="A11:B11"/>
    <mergeCell ref="A12:B12"/>
    <mergeCell ref="A13:B13"/>
    <mergeCell ref="A14:B14"/>
    <mergeCell ref="A15:B15"/>
    <mergeCell ref="A16:H16"/>
    <mergeCell ref="B20:C20"/>
    <mergeCell ref="A18:C18"/>
    <mergeCell ref="D18:F18"/>
    <mergeCell ref="A106:A109"/>
    <mergeCell ref="B90:B91"/>
    <mergeCell ref="C8:C9"/>
    <mergeCell ref="D8:D9"/>
    <mergeCell ref="E8:E9"/>
    <mergeCell ref="A65:B65"/>
    <mergeCell ref="E21:F21"/>
    <mergeCell ref="B22:C22"/>
    <mergeCell ref="A26:B27"/>
    <mergeCell ref="A64:B64"/>
    <mergeCell ref="C106:C107"/>
    <mergeCell ref="A86:G86"/>
    <mergeCell ref="A88:G88"/>
    <mergeCell ref="E101:F101"/>
    <mergeCell ref="E102:F102"/>
    <mergeCell ref="A97:A100"/>
    <mergeCell ref="B97:D97"/>
    <mergeCell ref="B98:D99"/>
    <mergeCell ref="A37:G37"/>
    <mergeCell ref="A34:B34"/>
    <mergeCell ref="A69:B69"/>
    <mergeCell ref="A68:B68"/>
    <mergeCell ref="A67:B67"/>
    <mergeCell ref="A66:B66"/>
    <mergeCell ref="A59:G59"/>
    <mergeCell ref="B102:C102"/>
    <mergeCell ref="A94:G95"/>
    <mergeCell ref="E97:G97"/>
    <mergeCell ref="E98:G99"/>
    <mergeCell ref="E100:F100"/>
    <mergeCell ref="A89:G89"/>
    <mergeCell ref="A90:A92"/>
    <mergeCell ref="E41:E42"/>
    <mergeCell ref="F41:F42"/>
    <mergeCell ref="G41:G42"/>
    <mergeCell ref="A45:D45"/>
    <mergeCell ref="A46:D46"/>
    <mergeCell ref="E61:E62"/>
    <mergeCell ref="A72:G72"/>
    <mergeCell ref="A73:B74"/>
    <mergeCell ref="C73:D74"/>
    <mergeCell ref="B21:C21"/>
    <mergeCell ref="E50:E51"/>
    <mergeCell ref="F50:F51"/>
    <mergeCell ref="G50:G51"/>
    <mergeCell ref="D26:D27"/>
    <mergeCell ref="E26:E27"/>
    <mergeCell ref="A55:D55"/>
    <mergeCell ref="A56:D56"/>
    <mergeCell ref="A57:D57"/>
    <mergeCell ref="A47:D47"/>
    <mergeCell ref="A48:D48"/>
    <mergeCell ref="A50:D52"/>
    <mergeCell ref="A53:D53"/>
    <mergeCell ref="A54:D54"/>
    <mergeCell ref="A41:D43"/>
    <mergeCell ref="A44:D44"/>
    <mergeCell ref="C26:C27"/>
    <mergeCell ref="E22:F22"/>
    <mergeCell ref="A35:B35"/>
    <mergeCell ref="A33:B33"/>
    <mergeCell ref="A32:B32"/>
    <mergeCell ref="A31:B31"/>
    <mergeCell ref="A30:B30"/>
    <mergeCell ref="A29:B29"/>
    <mergeCell ref="A1:G1"/>
    <mergeCell ref="A6:G6"/>
    <mergeCell ref="A7:G7"/>
    <mergeCell ref="A60:G60"/>
    <mergeCell ref="A103:G103"/>
    <mergeCell ref="A49:G49"/>
    <mergeCell ref="A40:G40"/>
    <mergeCell ref="A38:G39"/>
    <mergeCell ref="F29:G29"/>
    <mergeCell ref="F30:G30"/>
    <mergeCell ref="F31:G31"/>
    <mergeCell ref="F32:G32"/>
    <mergeCell ref="F33:G33"/>
    <mergeCell ref="F34:G34"/>
    <mergeCell ref="F35:G35"/>
    <mergeCell ref="A24:G24"/>
    <mergeCell ref="A25:G25"/>
    <mergeCell ref="E76:G76"/>
    <mergeCell ref="E93:G93"/>
    <mergeCell ref="G61:G62"/>
    <mergeCell ref="C61:C63"/>
    <mergeCell ref="A61:B63"/>
    <mergeCell ref="A75:B75"/>
    <mergeCell ref="C75:D75"/>
    <mergeCell ref="E116:G116"/>
    <mergeCell ref="E117:G117"/>
    <mergeCell ref="A28:B28"/>
    <mergeCell ref="F26:G27"/>
    <mergeCell ref="F28:G28"/>
    <mergeCell ref="F10:G10"/>
    <mergeCell ref="F8:G9"/>
    <mergeCell ref="E75:G75"/>
    <mergeCell ref="E73:G74"/>
    <mergeCell ref="E92:G92"/>
    <mergeCell ref="E90:G91"/>
    <mergeCell ref="E108:G108"/>
    <mergeCell ref="E106:G107"/>
    <mergeCell ref="E113:G114"/>
    <mergeCell ref="E115:G115"/>
    <mergeCell ref="F11:G11"/>
    <mergeCell ref="F12:G12"/>
    <mergeCell ref="F13:G13"/>
    <mergeCell ref="F14:G14"/>
    <mergeCell ref="F15:G15"/>
    <mergeCell ref="F61:F62"/>
    <mergeCell ref="A76:B76"/>
    <mergeCell ref="C76:D76"/>
    <mergeCell ref="D61:D62"/>
  </mergeCells>
  <phoneticPr fontId="6" type="noConversion"/>
  <pageMargins left="0.70866141732283472" right="0.31496062992125984" top="0.74803149606299213" bottom="0.74803149606299213" header="0.31496062992125984" footer="0.31496062992125984"/>
  <pageSetup paperSize="9" scale="87" fitToWidth="0" fitToHeight="0" orientation="portrait" r:id="rId1"/>
  <headerFooter>
    <oddFooter>&amp;CLøntabel for lærere, pædagogiske ledere og rektorer ved gymnasieskolen_x000D_&amp;RSide  &amp;P af i alt &amp;N</oddFooter>
  </headerFooter>
  <rowBreaks count="3" manualBreakCount="3">
    <brk id="35" max="16383" man="1"/>
    <brk id="77" max="16383" man="1"/>
    <brk id="8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87"/>
  <sheetViews>
    <sheetView view="pageBreakPreview" zoomScaleSheetLayoutView="100" workbookViewId="0">
      <selection activeCell="A2" sqref="A2:H2"/>
    </sheetView>
  </sheetViews>
  <sheetFormatPr baseColWidth="10" defaultColWidth="8.83203125" defaultRowHeight="14"/>
  <cols>
    <col min="1" max="1" width="10" style="249" customWidth="1"/>
    <col min="2" max="8" width="17" style="249" customWidth="1"/>
    <col min="9" max="16384" width="8.83203125" style="249"/>
  </cols>
  <sheetData>
    <row r="1" spans="1:8" ht="20">
      <c r="A1" s="1250" t="s">
        <v>19</v>
      </c>
      <c r="B1" s="1251"/>
      <c r="C1" s="1251"/>
      <c r="D1" s="1251"/>
      <c r="E1" s="1251"/>
      <c r="F1" s="1251"/>
      <c r="G1" s="1251"/>
      <c r="H1" s="1252"/>
    </row>
    <row r="2" spans="1:8" ht="20">
      <c r="A2" s="1263" t="s">
        <v>173</v>
      </c>
      <c r="B2" s="1264"/>
      <c r="C2" s="1264"/>
      <c r="D2" s="1264"/>
      <c r="E2" s="1264"/>
      <c r="F2" s="1264"/>
      <c r="G2" s="1264"/>
      <c r="H2" s="1265"/>
    </row>
    <row r="3" spans="1:8" ht="21" thickBot="1">
      <c r="A3" s="1364" t="str">
        <f>'Forside 1'!A6:I6</f>
        <v>Gældende fra 1. april 2019</v>
      </c>
      <c r="B3" s="1365"/>
      <c r="C3" s="1365"/>
      <c r="D3" s="1365"/>
      <c r="E3" s="1365"/>
      <c r="F3" s="1365"/>
      <c r="G3" s="1365"/>
      <c r="H3" s="1366"/>
    </row>
    <row r="4" spans="1:8" s="573" customFormat="1" ht="18.75" customHeight="1" thickBot="1">
      <c r="A4" s="733"/>
      <c r="B4" s="733"/>
      <c r="C4" s="733"/>
      <c r="D4" s="733"/>
      <c r="E4" s="733"/>
      <c r="F4" s="733"/>
      <c r="G4" s="733"/>
      <c r="H4" s="733"/>
    </row>
    <row r="5" spans="1:8" ht="41.25" customHeight="1" thickBot="1">
      <c r="A5" s="1739" t="s">
        <v>327</v>
      </c>
      <c r="B5" s="1740"/>
      <c r="C5" s="1740"/>
      <c r="D5" s="1740"/>
      <c r="E5" s="1740"/>
      <c r="F5" s="1741"/>
      <c r="G5" s="1733" t="s">
        <v>94</v>
      </c>
      <c r="H5" s="1734"/>
    </row>
    <row r="6" spans="1:8" ht="26" customHeight="1" thickBot="1">
      <c r="A6" s="1730" t="s">
        <v>340</v>
      </c>
      <c r="B6" s="1731"/>
      <c r="C6" s="1731"/>
      <c r="D6" s="1731"/>
      <c r="E6" s="1731"/>
      <c r="F6" s="1731"/>
      <c r="G6" s="1731"/>
      <c r="H6" s="1732"/>
    </row>
    <row r="7" spans="1:8" ht="15">
      <c r="A7" s="829" t="s">
        <v>57</v>
      </c>
      <c r="B7" s="829" t="s">
        <v>76</v>
      </c>
      <c r="C7" s="829" t="s">
        <v>77</v>
      </c>
      <c r="D7" s="829" t="s">
        <v>78</v>
      </c>
      <c r="E7" s="829" t="s">
        <v>79</v>
      </c>
      <c r="F7" s="829" t="s">
        <v>80</v>
      </c>
      <c r="G7" s="829" t="s">
        <v>244</v>
      </c>
      <c r="H7" s="818">
        <v>0.14699999999999999</v>
      </c>
    </row>
    <row r="8" spans="1:8" ht="16">
      <c r="A8" s="645">
        <v>14</v>
      </c>
      <c r="B8" s="646">
        <f>+'Statens skalatrin'!D46</f>
        <v>20578.169999999998</v>
      </c>
      <c r="C8" s="646">
        <f>+'Statens skalatrin'!F46</f>
        <v>21006.67</v>
      </c>
      <c r="D8" s="646">
        <f>+'Statens skalatrin'!H46</f>
        <v>21303.33</v>
      </c>
      <c r="E8" s="646">
        <f>+'Statens skalatrin'!J46</f>
        <v>21731.75</v>
      </c>
      <c r="F8" s="646">
        <f>+'Statens skalatrin'!L46</f>
        <v>22028.42</v>
      </c>
      <c r="G8" s="647">
        <f>+'Statens skalatrin'!O46</f>
        <v>19239.919999999998</v>
      </c>
      <c r="H8" s="647">
        <f t="shared" ref="H8:H32" si="0">G8*$H$7</f>
        <v>2828.2682399999994</v>
      </c>
    </row>
    <row r="9" spans="1:8" ht="16">
      <c r="A9" s="645">
        <v>15</v>
      </c>
      <c r="B9" s="646">
        <f>+'Statens skalatrin'!D49</f>
        <v>20943.25</v>
      </c>
      <c r="C9" s="646">
        <f>+'Statens skalatrin'!F49</f>
        <v>21382.42</v>
      </c>
      <c r="D9" s="646">
        <f>+'Statens skalatrin'!H49</f>
        <v>21686.5</v>
      </c>
      <c r="E9" s="646">
        <f>+'Statens skalatrin'!J49</f>
        <v>22125.83</v>
      </c>
      <c r="F9" s="646">
        <f>+'Statens skalatrin'!L49</f>
        <v>22430</v>
      </c>
      <c r="G9" s="647">
        <f>+'Statens skalatrin'!O49</f>
        <v>19581.89</v>
      </c>
      <c r="H9" s="647">
        <f t="shared" si="0"/>
        <v>2878.5378299999998</v>
      </c>
    </row>
    <row r="10" spans="1:8" ht="16">
      <c r="A10" s="645">
        <v>16</v>
      </c>
      <c r="B10" s="646">
        <f>'Statens skalatrin'!D52</f>
        <v>21222.92</v>
      </c>
      <c r="C10" s="646">
        <f>+'Statens skalatrin'!F52</f>
        <v>21673.33</v>
      </c>
      <c r="D10" s="646">
        <f>+'Statens skalatrin'!H52</f>
        <v>21985.25</v>
      </c>
      <c r="E10" s="646">
        <f>+'Statens skalatrin'!J52</f>
        <v>22435.58</v>
      </c>
      <c r="F10" s="646">
        <f>+'Statens skalatrin'!L52</f>
        <v>22747.5</v>
      </c>
      <c r="G10" s="647">
        <f>+'Statens skalatrin'!O52</f>
        <v>19933.48</v>
      </c>
      <c r="H10" s="647">
        <f t="shared" si="0"/>
        <v>2930.22156</v>
      </c>
    </row>
    <row r="11" spans="1:8" ht="16">
      <c r="A11" s="645">
        <v>17</v>
      </c>
      <c r="B11" s="646">
        <f>'Statens skalatrin'!D55</f>
        <v>21608.25</v>
      </c>
      <c r="C11" s="646">
        <f>+'Statens skalatrin'!F55</f>
        <v>22070.17</v>
      </c>
      <c r="D11" s="646">
        <f>+'Statens skalatrin'!H55</f>
        <v>22389.919999999998</v>
      </c>
      <c r="E11" s="646">
        <f>+'Statens skalatrin'!J55</f>
        <v>22851.75</v>
      </c>
      <c r="F11" s="646">
        <f>+'Statens skalatrin'!L55</f>
        <v>23171.33</v>
      </c>
      <c r="G11" s="647">
        <f>+'Statens skalatrin'!O55</f>
        <v>20294.53</v>
      </c>
      <c r="H11" s="647">
        <f t="shared" si="0"/>
        <v>2983.2959099999998</v>
      </c>
    </row>
    <row r="12" spans="1:8" ht="16">
      <c r="A12" s="645">
        <v>18</v>
      </c>
      <c r="B12" s="646">
        <f>'Statens skalatrin'!D58</f>
        <v>22004.42</v>
      </c>
      <c r="C12" s="646">
        <f>+'Statens skalatrin'!F58</f>
        <v>22478.080000000002</v>
      </c>
      <c r="D12" s="646">
        <f>+'Statens skalatrin'!H58</f>
        <v>22805.919999999998</v>
      </c>
      <c r="E12" s="646">
        <f>+'Statens skalatrin'!J58</f>
        <v>23279.5</v>
      </c>
      <c r="F12" s="646">
        <f>+'Statens skalatrin'!L58</f>
        <v>23607.25</v>
      </c>
      <c r="G12" s="647">
        <f>+'Statens skalatrin'!O58</f>
        <v>20665.7</v>
      </c>
      <c r="H12" s="647">
        <f t="shared" si="0"/>
        <v>3037.8579</v>
      </c>
    </row>
    <row r="13" spans="1:8" ht="16">
      <c r="A13" s="645">
        <v>19</v>
      </c>
      <c r="B13" s="646">
        <f>'Statens skalatrin'!D61</f>
        <v>22300.080000000002</v>
      </c>
      <c r="C13" s="646">
        <f>+'Statens skalatrin'!F61</f>
        <v>22785.75</v>
      </c>
      <c r="D13" s="646">
        <f>+'Statens skalatrin'!H61</f>
        <v>23121.83</v>
      </c>
      <c r="E13" s="646">
        <f>+'Statens skalatrin'!J61</f>
        <v>23607.58</v>
      </c>
      <c r="F13" s="646">
        <f>+'Statens skalatrin'!L61</f>
        <v>23943.919999999998</v>
      </c>
      <c r="G13" s="647">
        <f>+'Statens skalatrin'!O61</f>
        <v>21046.99</v>
      </c>
      <c r="H13" s="647">
        <f t="shared" si="0"/>
        <v>3093.90753</v>
      </c>
    </row>
    <row r="14" spans="1:8" ht="16">
      <c r="A14" s="645">
        <v>20</v>
      </c>
      <c r="B14" s="646">
        <f>+'Statens skalatrin'!D64</f>
        <v>22607.08</v>
      </c>
      <c r="C14" s="646">
        <f>+'Statens skalatrin'!F64</f>
        <v>23105</v>
      </c>
      <c r="D14" s="646">
        <f>+'Statens skalatrin'!H64</f>
        <v>23449.83</v>
      </c>
      <c r="E14" s="646">
        <f>+'Statens skalatrin'!J64</f>
        <v>23947.75</v>
      </c>
      <c r="F14" s="646">
        <f>+'Statens skalatrin'!L64</f>
        <v>24292.42</v>
      </c>
      <c r="G14" s="647">
        <f>+'Statens skalatrin'!O64</f>
        <v>21438.71</v>
      </c>
      <c r="H14" s="647">
        <f t="shared" si="0"/>
        <v>3151.4903699999995</v>
      </c>
    </row>
    <row r="15" spans="1:8" ht="16">
      <c r="A15" s="645">
        <v>21</v>
      </c>
      <c r="B15" s="646">
        <f>+'Statens skalatrin'!D67</f>
        <v>22981.33</v>
      </c>
      <c r="C15" s="646">
        <f>+'Statens skalatrin'!F67</f>
        <v>23492</v>
      </c>
      <c r="D15" s="646">
        <f>+'Statens skalatrin'!H67</f>
        <v>23845.58</v>
      </c>
      <c r="E15" s="646">
        <f>+'Statens skalatrin'!J67</f>
        <v>24356.33</v>
      </c>
      <c r="F15" s="646">
        <f>+'Statens skalatrin'!L67</f>
        <v>24709.919999999998</v>
      </c>
      <c r="G15" s="647">
        <f>+'Statens skalatrin'!O67</f>
        <v>21841.37</v>
      </c>
      <c r="H15" s="647">
        <f t="shared" si="0"/>
        <v>3210.6813899999997</v>
      </c>
    </row>
    <row r="16" spans="1:8" ht="16">
      <c r="A16" s="645">
        <v>22</v>
      </c>
      <c r="B16" s="646">
        <f>+'Statens skalatrin'!D70</f>
        <v>23328</v>
      </c>
      <c r="C16" s="646">
        <f>+'Statens skalatrin'!F70</f>
        <v>23838.75</v>
      </c>
      <c r="D16" s="646">
        <f>+'Statens skalatrin'!H70</f>
        <v>24192.33</v>
      </c>
      <c r="E16" s="646">
        <f>+'Statens skalatrin'!J70</f>
        <v>24703.08</v>
      </c>
      <c r="F16" s="646">
        <f>+'Statens skalatrin'!L70</f>
        <v>25056.67</v>
      </c>
      <c r="G16" s="647">
        <f>+'Statens skalatrin'!O70</f>
        <v>22243.69</v>
      </c>
      <c r="H16" s="647">
        <f t="shared" si="0"/>
        <v>3269.8224299999997</v>
      </c>
    </row>
    <row r="17" spans="1:8" ht="16">
      <c r="A17" s="645">
        <v>23</v>
      </c>
      <c r="B17" s="646">
        <f>+'Statens skalatrin'!D73</f>
        <v>23699.58</v>
      </c>
      <c r="C17" s="646">
        <f>+'Statens skalatrin'!F73</f>
        <v>24196.17</v>
      </c>
      <c r="D17" s="646">
        <f>+'Statens skalatrin'!H73</f>
        <v>24540.17</v>
      </c>
      <c r="E17" s="646">
        <f>+'Statens skalatrin'!J73</f>
        <v>25036.83</v>
      </c>
      <c r="F17" s="646">
        <f>+'Statens skalatrin'!L73</f>
        <v>25380.58</v>
      </c>
      <c r="G17" s="647">
        <f>+'Statens skalatrin'!O73</f>
        <v>22645.040000000001</v>
      </c>
      <c r="H17" s="647">
        <f t="shared" si="0"/>
        <v>3328.8208799999998</v>
      </c>
    </row>
    <row r="18" spans="1:8" ht="16">
      <c r="A18" s="645">
        <v>24</v>
      </c>
      <c r="B18" s="646">
        <f>+'Statens skalatrin'!D76</f>
        <v>24082.5</v>
      </c>
      <c r="C18" s="646">
        <f>+'Statens skalatrin'!F76</f>
        <v>24565.08</v>
      </c>
      <c r="D18" s="646">
        <f>+'Statens skalatrin'!H76</f>
        <v>24899.25</v>
      </c>
      <c r="E18" s="646">
        <f>+'Statens skalatrin'!J76</f>
        <v>25381.919999999998</v>
      </c>
      <c r="F18" s="646">
        <f>+'Statens skalatrin'!L76</f>
        <v>25716.080000000002</v>
      </c>
      <c r="G18" s="647">
        <f>+'Statens skalatrin'!O76</f>
        <v>23057.79</v>
      </c>
      <c r="H18" s="647">
        <f t="shared" si="0"/>
        <v>3389.4951299999998</v>
      </c>
    </row>
    <row r="19" spans="1:8" ht="16">
      <c r="A19" s="645">
        <v>25</v>
      </c>
      <c r="B19" s="646">
        <f>+'Statens skalatrin'!D79</f>
        <v>24473.83</v>
      </c>
      <c r="C19" s="646">
        <f>+'Statens skalatrin'!F79</f>
        <v>24941.5</v>
      </c>
      <c r="D19" s="646">
        <f>+'Statens skalatrin'!H79</f>
        <v>25265.25</v>
      </c>
      <c r="E19" s="646">
        <f>+'Statens skalatrin'!J79</f>
        <v>25732.83</v>
      </c>
      <c r="F19" s="646">
        <f>+'Statens skalatrin'!L79</f>
        <v>26056.5</v>
      </c>
      <c r="G19" s="647">
        <f>+'Statens skalatrin'!O79</f>
        <v>23481.24</v>
      </c>
      <c r="H19" s="647">
        <f t="shared" si="0"/>
        <v>3451.7422799999999</v>
      </c>
    </row>
    <row r="20" spans="1:8" ht="16">
      <c r="A20" s="645">
        <v>26</v>
      </c>
      <c r="B20" s="646">
        <f>+'Statens skalatrin'!D82</f>
        <v>24874.42</v>
      </c>
      <c r="C20" s="646">
        <f>+'Statens skalatrin'!F82</f>
        <v>25325.75</v>
      </c>
      <c r="D20" s="646">
        <f>+'Statens skalatrin'!H82</f>
        <v>25638.25</v>
      </c>
      <c r="E20" s="646">
        <f>+'Statens skalatrin'!J82</f>
        <v>26089.67</v>
      </c>
      <c r="F20" s="646">
        <f>+'Statens skalatrin'!L82</f>
        <v>26402.080000000002</v>
      </c>
      <c r="G20" s="647">
        <f>+'Statens skalatrin'!O82</f>
        <v>23915.83</v>
      </c>
      <c r="H20" s="647">
        <f t="shared" si="0"/>
        <v>3515.6270100000002</v>
      </c>
    </row>
    <row r="21" spans="1:8" ht="16">
      <c r="A21" s="645">
        <v>27</v>
      </c>
      <c r="B21" s="646">
        <f>+'Statens skalatrin'!D85</f>
        <v>25283.5</v>
      </c>
      <c r="C21" s="646">
        <f>+'Statens skalatrin'!F85</f>
        <v>25717.42</v>
      </c>
      <c r="D21" s="646">
        <f>+'Statens skalatrin'!H85</f>
        <v>26018.17</v>
      </c>
      <c r="E21" s="646">
        <f>+'Statens skalatrin'!J85</f>
        <v>26452.25</v>
      </c>
      <c r="F21" s="646">
        <f>+'Statens skalatrin'!L85</f>
        <v>26752.83</v>
      </c>
      <c r="G21" s="647">
        <f>+'Statens skalatrin'!O85</f>
        <v>24361.67</v>
      </c>
      <c r="H21" s="647">
        <f t="shared" si="0"/>
        <v>3581.1654899999994</v>
      </c>
    </row>
    <row r="22" spans="1:8" ht="16">
      <c r="A22" s="645">
        <v>28</v>
      </c>
      <c r="B22" s="646">
        <f>+'Statens skalatrin'!D88</f>
        <v>25701.83</v>
      </c>
      <c r="C22" s="646">
        <f>+'Statens skalatrin'!F88</f>
        <v>26117.5</v>
      </c>
      <c r="D22" s="646">
        <f>+'Statens skalatrin'!H88</f>
        <v>26405.25</v>
      </c>
      <c r="E22" s="646">
        <f>+'Statens skalatrin'!J88</f>
        <v>26820.92</v>
      </c>
      <c r="F22" s="646">
        <f>+'Statens skalatrin'!L88</f>
        <v>27108.75</v>
      </c>
      <c r="G22" s="647">
        <f>+'Statens skalatrin'!O88</f>
        <v>24819.35</v>
      </c>
      <c r="H22" s="647">
        <f t="shared" si="0"/>
        <v>3648.4444499999995</v>
      </c>
    </row>
    <row r="23" spans="1:8" ht="16">
      <c r="A23" s="645">
        <v>29</v>
      </c>
      <c r="B23" s="646">
        <f>+'Statens skalatrin'!D91</f>
        <v>26129.5</v>
      </c>
      <c r="C23" s="646">
        <f>+'Statens skalatrin'!F91</f>
        <v>26525.5</v>
      </c>
      <c r="D23" s="646">
        <f>+'Statens skalatrin'!H91</f>
        <v>26799.75</v>
      </c>
      <c r="E23" s="646">
        <f>+'Statens skalatrin'!J91</f>
        <v>27195.75</v>
      </c>
      <c r="F23" s="646">
        <f>+'Statens skalatrin'!L91</f>
        <v>27469.83</v>
      </c>
      <c r="G23" s="647">
        <f>+'Statens skalatrin'!O91</f>
        <v>25288.82</v>
      </c>
      <c r="H23" s="647">
        <f t="shared" si="0"/>
        <v>3717.4565399999997</v>
      </c>
    </row>
    <row r="24" spans="1:8" ht="16">
      <c r="A24" s="645">
        <v>30</v>
      </c>
      <c r="B24" s="646">
        <f>+'Statens skalatrin'!D94</f>
        <v>26567</v>
      </c>
      <c r="C24" s="646">
        <f>+'Statens skalatrin'!F94</f>
        <v>26942.080000000002</v>
      </c>
      <c r="D24" s="646">
        <f>+'Statens skalatrin'!H94</f>
        <v>27201.58</v>
      </c>
      <c r="E24" s="646">
        <f>+'Statens skalatrin'!J94</f>
        <v>27576.42</v>
      </c>
      <c r="F24" s="646">
        <f>+'Statens skalatrin'!L94</f>
        <v>27836.080000000002</v>
      </c>
      <c r="G24" s="647">
        <f>+'Statens skalatrin'!O94</f>
        <v>25770.68</v>
      </c>
      <c r="H24" s="647">
        <f t="shared" si="0"/>
        <v>3788.2899599999996</v>
      </c>
    </row>
    <row r="25" spans="1:8" ht="16">
      <c r="A25" s="645">
        <v>31</v>
      </c>
      <c r="B25" s="646">
        <f>+'Statens skalatrin'!D97</f>
        <v>27013.83</v>
      </c>
      <c r="C25" s="646">
        <f>+'Statens skalatrin'!F97</f>
        <v>27366.5</v>
      </c>
      <c r="D25" s="646">
        <f>+'Statens skalatrin'!H97</f>
        <v>27610.83</v>
      </c>
      <c r="E25" s="646">
        <f>+'Statens skalatrin'!J97</f>
        <v>27963.5</v>
      </c>
      <c r="F25" s="646">
        <f>+'Statens skalatrin'!L97</f>
        <v>28207.67</v>
      </c>
      <c r="G25" s="647">
        <f>+'Statens skalatrin'!O97</f>
        <v>26265.03</v>
      </c>
      <c r="H25" s="647">
        <f t="shared" si="0"/>
        <v>3860.9594099999995</v>
      </c>
    </row>
    <row r="26" spans="1:8" ht="16">
      <c r="A26" s="645">
        <v>32</v>
      </c>
      <c r="B26" s="646">
        <f>+'Statens skalatrin'!D100</f>
        <v>27471</v>
      </c>
      <c r="C26" s="646">
        <f>+'Statens skalatrin'!F100</f>
        <v>27799.919999999998</v>
      </c>
      <c r="D26" s="646">
        <f>+'Statens skalatrin'!H100</f>
        <v>28027.67</v>
      </c>
      <c r="E26" s="646">
        <f>+'Statens skalatrin'!J100</f>
        <v>28356.75</v>
      </c>
      <c r="F26" s="646">
        <f>+'Statens skalatrin'!L100</f>
        <v>28584.42</v>
      </c>
      <c r="G26" s="647">
        <f>+'Statens skalatrin'!O100</f>
        <v>26772.46</v>
      </c>
      <c r="H26" s="647">
        <f t="shared" si="0"/>
        <v>3935.5516199999997</v>
      </c>
    </row>
    <row r="27" spans="1:8" ht="16">
      <c r="A27" s="645">
        <v>33</v>
      </c>
      <c r="B27" s="646">
        <f>+'Statens skalatrin'!D103</f>
        <v>27937.919999999998</v>
      </c>
      <c r="C27" s="646">
        <f>+'Statens skalatrin'!F103</f>
        <v>28241.58</v>
      </c>
      <c r="D27" s="646">
        <f>+'Statens skalatrin'!H103</f>
        <v>28452.080000000002</v>
      </c>
      <c r="E27" s="646">
        <f>+'Statens skalatrin'!J103</f>
        <v>28755.83</v>
      </c>
      <c r="F27" s="646">
        <f>+'Statens skalatrin'!L103</f>
        <v>28966.25</v>
      </c>
      <c r="G27" s="647">
        <f>+'Statens skalatrin'!O103</f>
        <v>27292.91</v>
      </c>
      <c r="H27" s="647">
        <f t="shared" si="0"/>
        <v>4012.0577699999999</v>
      </c>
    </row>
    <row r="28" spans="1:8" ht="16">
      <c r="A28" s="645">
        <v>34</v>
      </c>
      <c r="B28" s="646">
        <f>+'Statens skalatrin'!D106</f>
        <v>28415.42</v>
      </c>
      <c r="C28" s="646">
        <f>+'Statens skalatrin'!F106</f>
        <v>28692.58</v>
      </c>
      <c r="D28" s="646">
        <f>+'Statens skalatrin'!H106</f>
        <v>28884.42</v>
      </c>
      <c r="E28" s="646">
        <f>+'Statens skalatrin'!J106</f>
        <v>29161.33</v>
      </c>
      <c r="F28" s="646">
        <f>+'Statens skalatrin'!L106</f>
        <v>29353.17</v>
      </c>
      <c r="G28" s="647">
        <f>+'Statens skalatrin'!O106</f>
        <v>27827.119999999999</v>
      </c>
      <c r="H28" s="647">
        <f t="shared" si="0"/>
        <v>4090.5866399999995</v>
      </c>
    </row>
    <row r="29" spans="1:8" ht="16">
      <c r="A29" s="645">
        <v>35</v>
      </c>
      <c r="B29" s="646">
        <f>+'Statens skalatrin'!D109</f>
        <v>28903.58</v>
      </c>
      <c r="C29" s="646">
        <f>+'Statens skalatrin'!F109</f>
        <v>29152.5</v>
      </c>
      <c r="D29" s="646">
        <f>+'Statens skalatrin'!H109</f>
        <v>29324.58</v>
      </c>
      <c r="E29" s="646">
        <f>+'Statens skalatrin'!J109</f>
        <v>29573.5</v>
      </c>
      <c r="F29" s="646">
        <f>+'Statens skalatrin'!L109</f>
        <v>29745.67</v>
      </c>
      <c r="G29" s="647">
        <f>+'Statens skalatrin'!O109</f>
        <v>28375.360000000001</v>
      </c>
      <c r="H29" s="647">
        <f t="shared" si="0"/>
        <v>4171.1779200000001</v>
      </c>
    </row>
    <row r="30" spans="1:8" ht="16">
      <c r="A30" s="645">
        <v>36</v>
      </c>
      <c r="B30" s="646">
        <f>'Statens skalatrin'!D112</f>
        <v>29402.33</v>
      </c>
      <c r="C30" s="646">
        <f>+'Statens skalatrin'!F112</f>
        <v>29621.17</v>
      </c>
      <c r="D30" s="646">
        <f>+'Statens skalatrin'!H112</f>
        <v>29772.67</v>
      </c>
      <c r="E30" s="646">
        <f>+'Statens skalatrin'!J112</f>
        <v>29991.58</v>
      </c>
      <c r="F30" s="646">
        <f>+'Statens skalatrin'!L112</f>
        <v>30143</v>
      </c>
      <c r="G30" s="647">
        <f>+'Statens skalatrin'!O112</f>
        <v>28937.71</v>
      </c>
      <c r="H30" s="647">
        <f t="shared" si="0"/>
        <v>4253.8433699999996</v>
      </c>
    </row>
    <row r="31" spans="1:8" ht="16">
      <c r="A31" s="645">
        <v>37</v>
      </c>
      <c r="B31" s="646">
        <f>+'Statens skalatrin'!D115</f>
        <v>29912.17</v>
      </c>
      <c r="C31" s="646">
        <f>+'Statens skalatrin'!F115</f>
        <v>30099.33</v>
      </c>
      <c r="D31" s="646">
        <f>+'Statens skalatrin'!H115</f>
        <v>30228.75</v>
      </c>
      <c r="E31" s="646">
        <f>+'Statens skalatrin'!J115</f>
        <v>30415.919999999998</v>
      </c>
      <c r="F31" s="646">
        <f>+'Statens skalatrin'!L115</f>
        <v>30545.58</v>
      </c>
      <c r="G31" s="647">
        <f>+'Statens skalatrin'!O115</f>
        <v>29514.76</v>
      </c>
      <c r="H31" s="647">
        <f t="shared" si="0"/>
        <v>4338.6697199999999</v>
      </c>
    </row>
    <row r="32" spans="1:8" ht="17" thickBot="1">
      <c r="A32" s="765">
        <v>38</v>
      </c>
      <c r="B32" s="766">
        <f>+'Statens skalatrin'!D118</f>
        <v>30450.58</v>
      </c>
      <c r="C32" s="766">
        <f>+'Statens skalatrin'!F118</f>
        <v>30607.17</v>
      </c>
      <c r="D32" s="766">
        <f>+'Statens skalatrin'!H118</f>
        <v>30715.58</v>
      </c>
      <c r="E32" s="766">
        <f>+'Statens skalatrin'!J118</f>
        <v>30872.17</v>
      </c>
      <c r="F32" s="766">
        <f>+'Statens skalatrin'!L118</f>
        <v>30980.75</v>
      </c>
      <c r="G32" s="767">
        <f>+'Statens skalatrin'!O118</f>
        <v>30117.93</v>
      </c>
      <c r="H32" s="767">
        <f t="shared" si="0"/>
        <v>4427.3357099999994</v>
      </c>
    </row>
    <row r="33" spans="1:8" s="573" customFormat="1" ht="19" thickBot="1">
      <c r="A33" s="1728" t="s">
        <v>458</v>
      </c>
      <c r="B33" s="1729"/>
      <c r="C33" s="1729"/>
      <c r="D33" s="764" t="s">
        <v>457</v>
      </c>
      <c r="E33" s="762"/>
      <c r="F33" s="763"/>
      <c r="G33" s="1737" t="s">
        <v>456</v>
      </c>
      <c r="H33" s="1738"/>
    </row>
    <row r="34" spans="1:8" ht="26" customHeight="1" thickBot="1">
      <c r="A34" s="1723" t="s">
        <v>340</v>
      </c>
      <c r="B34" s="1724"/>
      <c r="C34" s="1724"/>
      <c r="D34" s="1724"/>
      <c r="E34" s="1724"/>
      <c r="F34" s="1724"/>
      <c r="G34" s="1724"/>
      <c r="H34" s="1725"/>
    </row>
    <row r="35" spans="1:8" ht="26" customHeight="1" thickBot="1">
      <c r="A35" s="575" t="s">
        <v>57</v>
      </c>
      <c r="B35" s="575" t="s">
        <v>76</v>
      </c>
      <c r="C35" s="575" t="s">
        <v>77</v>
      </c>
      <c r="D35" s="575" t="s">
        <v>78</v>
      </c>
      <c r="E35" s="575" t="s">
        <v>79</v>
      </c>
      <c r="F35" s="575" t="s">
        <v>80</v>
      </c>
      <c r="G35" s="575" t="s">
        <v>244</v>
      </c>
      <c r="H35" s="828">
        <v>0.16200000000000001</v>
      </c>
    </row>
    <row r="36" spans="1:8" ht="16.5" customHeight="1">
      <c r="A36" s="731">
        <v>40</v>
      </c>
      <c r="B36" s="648">
        <f>'Statens skalatrin'!D124</f>
        <v>31549.75</v>
      </c>
      <c r="C36" s="648">
        <f>+'Statens skalatrin'!F124</f>
        <v>31632.17</v>
      </c>
      <c r="D36" s="648">
        <f>+'Statens skalatrin'!H124</f>
        <v>31689.33</v>
      </c>
      <c r="E36" s="648">
        <f>+'Statens skalatrin'!J124</f>
        <v>31771.83</v>
      </c>
      <c r="F36" s="648">
        <f>+'Statens skalatrin'!L124</f>
        <v>31828.92</v>
      </c>
      <c r="G36" s="648">
        <f>+'Statens skalatrin'!O124</f>
        <v>31374.49</v>
      </c>
      <c r="H36" s="649">
        <f>G36*H35</f>
        <v>5082.6673800000008</v>
      </c>
    </row>
    <row r="37" spans="1:8" ht="16">
      <c r="A37" s="645">
        <v>42</v>
      </c>
      <c r="B37" s="646">
        <f>'Statens skalatrin'!D130</f>
        <v>32697.42</v>
      </c>
      <c r="C37" s="646">
        <f>+'Statens skalatrin'!F130</f>
        <v>32697.42</v>
      </c>
      <c r="D37" s="646">
        <f>+'Statens skalatrin'!H130</f>
        <v>32697.42</v>
      </c>
      <c r="E37" s="646">
        <f>+'Statens skalatrin'!J130</f>
        <v>32697.42</v>
      </c>
      <c r="F37" s="646">
        <f>+'Statens skalatrin'!L130</f>
        <v>32697.42</v>
      </c>
      <c r="G37" s="646">
        <f>+'Statens skalatrin'!O130</f>
        <v>32697.34</v>
      </c>
      <c r="H37" s="649">
        <f>G37*H35</f>
        <v>5296.9690799999998</v>
      </c>
    </row>
    <row r="38" spans="1:8" ht="16">
      <c r="A38" s="645">
        <v>44</v>
      </c>
      <c r="B38" s="646">
        <f>'Statens skalatrin'!D136</f>
        <v>34169</v>
      </c>
      <c r="C38" s="646">
        <f>+'Statens skalatrin'!F136</f>
        <v>34169</v>
      </c>
      <c r="D38" s="646">
        <f>+'Statens skalatrin'!H136</f>
        <v>34169</v>
      </c>
      <c r="E38" s="646">
        <f>+'Statens skalatrin'!J136</f>
        <v>34169</v>
      </c>
      <c r="F38" s="646">
        <f>+'Statens skalatrin'!L136</f>
        <v>34169</v>
      </c>
      <c r="G38" s="646">
        <f>+'Statens skalatrin'!O136</f>
        <v>34169.03</v>
      </c>
      <c r="H38" s="649">
        <f>G38*H35</f>
        <v>5535.3828599999997</v>
      </c>
    </row>
    <row r="39" spans="1:8" ht="17" thickBot="1">
      <c r="A39" s="650">
        <v>48</v>
      </c>
      <c r="B39" s="826">
        <f>'Statens skalatrin'!D148</f>
        <v>39872.92</v>
      </c>
      <c r="C39" s="826">
        <f>+'Statens skalatrin'!F148</f>
        <v>39872.92</v>
      </c>
      <c r="D39" s="826">
        <f>+'Statens skalatrin'!H148</f>
        <v>39872.92</v>
      </c>
      <c r="E39" s="826">
        <f>+'Statens skalatrin'!J148</f>
        <v>39872.92</v>
      </c>
      <c r="F39" s="826">
        <f>+'Statens skalatrin'!L148</f>
        <v>39872.92</v>
      </c>
      <c r="G39" s="826">
        <f>+'Statens skalatrin'!O148</f>
        <v>39872.81</v>
      </c>
      <c r="H39" s="827">
        <f>G39*H35</f>
        <v>6459.3952199999994</v>
      </c>
    </row>
    <row r="40" spans="1:8">
      <c r="A40" s="749"/>
      <c r="B40" s="749"/>
      <c r="C40" s="749"/>
      <c r="D40" s="749"/>
      <c r="E40" s="749"/>
      <c r="F40" s="749"/>
      <c r="G40" s="749"/>
      <c r="H40" s="749"/>
    </row>
    <row r="41" spans="1:8" s="573" customFormat="1" ht="15" thickBot="1"/>
    <row r="42" spans="1:8" s="573" customFormat="1" ht="16">
      <c r="A42" s="1666" t="s">
        <v>342</v>
      </c>
      <c r="B42" s="1677"/>
      <c r="C42" s="1677"/>
      <c r="D42" s="1677"/>
      <c r="E42" s="1677"/>
      <c r="F42" s="1677"/>
      <c r="G42" s="1677"/>
      <c r="H42" s="1667"/>
    </row>
    <row r="43" spans="1:8" ht="26" customHeight="1" thickBot="1">
      <c r="A43" s="1247" t="s">
        <v>341</v>
      </c>
      <c r="B43" s="1248"/>
      <c r="C43" s="1248"/>
      <c r="D43" s="1248"/>
      <c r="E43" s="1248"/>
      <c r="F43" s="1248"/>
      <c r="G43" s="1248"/>
      <c r="H43" s="1249"/>
    </row>
    <row r="44" spans="1:8" ht="26" customHeight="1">
      <c r="A44" s="1668" t="s">
        <v>459</v>
      </c>
      <c r="B44" s="1669"/>
      <c r="C44" s="1670"/>
      <c r="D44" s="1742" t="s">
        <v>133</v>
      </c>
      <c r="E44" s="1743"/>
      <c r="F44" s="1742" t="s">
        <v>372</v>
      </c>
      <c r="G44" s="1743"/>
      <c r="H44" s="776" t="s">
        <v>295</v>
      </c>
    </row>
    <row r="45" spans="1:8" ht="15.75" customHeight="1" thickBot="1">
      <c r="A45" s="1671"/>
      <c r="B45" s="1672"/>
      <c r="C45" s="1673"/>
      <c r="D45" s="1744">
        <v>40999</v>
      </c>
      <c r="E45" s="1745"/>
      <c r="F45" s="1744" t="str">
        <f>'Løntabel gældende fra'!D1</f>
        <v>01/04/2019</v>
      </c>
      <c r="G45" s="1745"/>
      <c r="H45" s="631" t="str">
        <f>'Løntabel gældende fra'!$D$1</f>
        <v>01/04/2019</v>
      </c>
    </row>
    <row r="46" spans="1:8" ht="15" customHeight="1" thickBot="1">
      <c r="A46" s="1674"/>
      <c r="B46" s="1675"/>
      <c r="C46" s="1676"/>
      <c r="D46" s="1749">
        <v>4000</v>
      </c>
      <c r="E46" s="1750"/>
      <c r="F46" s="1751">
        <f>+D46*(1+'Løntabel gældende fra'!$D$7/100)</f>
        <v>4339.6440000000002</v>
      </c>
      <c r="G46" s="1752">
        <f>+E46*(1+'Løntabel gældende fra'!$D$7/100)</f>
        <v>0</v>
      </c>
      <c r="H46" s="777">
        <f>F46/12</f>
        <v>361.637</v>
      </c>
    </row>
    <row r="47" spans="1:8" ht="31.5" customHeight="1" thickBot="1">
      <c r="A47" s="252"/>
      <c r="B47" s="253"/>
      <c r="C47" s="253"/>
      <c r="D47" s="253"/>
      <c r="E47" s="253"/>
      <c r="F47" s="253"/>
    </row>
    <row r="48" spans="1:8" ht="16">
      <c r="A48" s="1666" t="s">
        <v>234</v>
      </c>
      <c r="B48" s="1677"/>
      <c r="C48" s="1677"/>
      <c r="D48" s="1677"/>
      <c r="E48" s="1677"/>
      <c r="F48" s="1677"/>
      <c r="G48" s="1677"/>
      <c r="H48" s="1667"/>
    </row>
    <row r="49" spans="1:8" ht="20" customHeight="1" thickBot="1">
      <c r="A49" s="1247" t="s">
        <v>380</v>
      </c>
      <c r="B49" s="1248"/>
      <c r="C49" s="1248"/>
      <c r="D49" s="1248"/>
      <c r="E49" s="1248"/>
      <c r="F49" s="1248"/>
      <c r="G49" s="1248"/>
      <c r="H49" s="1249"/>
    </row>
    <row r="50" spans="1:8" ht="34.5" customHeight="1">
      <c r="A50" s="1678" t="s">
        <v>349</v>
      </c>
      <c r="B50" s="1679"/>
      <c r="C50" s="1679"/>
      <c r="D50" s="1679"/>
      <c r="E50" s="1679"/>
      <c r="F50" s="1680"/>
      <c r="G50" s="752" t="s">
        <v>102</v>
      </c>
      <c r="H50" s="755" t="s">
        <v>295</v>
      </c>
    </row>
    <row r="51" spans="1:8" ht="21" customHeight="1" thickBot="1">
      <c r="A51" s="1681"/>
      <c r="B51" s="1682"/>
      <c r="C51" s="1682"/>
      <c r="D51" s="1682"/>
      <c r="E51" s="1682"/>
      <c r="F51" s="1683"/>
      <c r="G51" s="631">
        <v>40999</v>
      </c>
      <c r="H51" s="651" t="str">
        <f>'Løntabel gældende fra'!$D$1</f>
        <v>01/04/2019</v>
      </c>
    </row>
    <row r="52" spans="1:8" ht="21" customHeight="1">
      <c r="A52" s="1684" t="s">
        <v>347</v>
      </c>
      <c r="B52" s="1685"/>
      <c r="C52" s="1685"/>
      <c r="D52" s="1685"/>
      <c r="E52" s="1685"/>
      <c r="F52" s="1686"/>
      <c r="G52" s="627">
        <v>540</v>
      </c>
      <c r="H52" s="652">
        <f>G52+G52*'Løntabel gældende fra'!$D$7%</f>
        <v>585.85194000000001</v>
      </c>
    </row>
    <row r="53" spans="1:8" ht="20" customHeight="1" thickBot="1">
      <c r="A53" s="1687" t="s">
        <v>348</v>
      </c>
      <c r="B53" s="1688"/>
      <c r="C53" s="1688"/>
      <c r="D53" s="1688"/>
      <c r="E53" s="1688"/>
      <c r="F53" s="1689"/>
      <c r="G53" s="629">
        <v>666.67</v>
      </c>
      <c r="H53" s="653">
        <f>G53+G53*'Løntabel gældende fra'!$D$7%</f>
        <v>723.27761636999992</v>
      </c>
    </row>
    <row r="54" spans="1:8" ht="20" customHeight="1" thickBot="1">
      <c r="A54" s="283"/>
      <c r="B54" s="283"/>
      <c r="C54" s="283"/>
      <c r="D54" s="283"/>
      <c r="E54" s="283"/>
      <c r="F54" s="270"/>
      <c r="G54" s="270"/>
      <c r="H54" s="768"/>
    </row>
    <row r="55" spans="1:8" s="573" customFormat="1" ht="27" customHeight="1">
      <c r="A55" s="1666" t="s">
        <v>336</v>
      </c>
      <c r="B55" s="1677"/>
      <c r="C55" s="1677"/>
      <c r="D55" s="1677"/>
      <c r="E55" s="1677"/>
      <c r="F55" s="1677"/>
      <c r="G55" s="1677"/>
      <c r="H55" s="1667"/>
    </row>
    <row r="56" spans="1:8" ht="20" customHeight="1" thickBot="1">
      <c r="A56" s="1247" t="s">
        <v>334</v>
      </c>
      <c r="B56" s="1248"/>
      <c r="C56" s="1248"/>
      <c r="D56" s="1248"/>
      <c r="E56" s="1248"/>
      <c r="F56" s="1248"/>
      <c r="G56" s="1248"/>
      <c r="H56" s="1249"/>
    </row>
    <row r="57" spans="1:8" ht="20" customHeight="1">
      <c r="A57" s="773"/>
      <c r="B57" s="774"/>
      <c r="C57" s="774"/>
      <c r="D57" s="774"/>
      <c r="E57" s="774"/>
      <c r="F57" s="774"/>
      <c r="G57" s="776" t="s">
        <v>99</v>
      </c>
      <c r="H57" s="775" t="s">
        <v>104</v>
      </c>
    </row>
    <row r="58" spans="1:8" ht="15" customHeight="1" thickBot="1">
      <c r="A58" s="771"/>
      <c r="B58" s="772"/>
      <c r="C58" s="772"/>
      <c r="D58" s="772"/>
      <c r="E58" s="772"/>
      <c r="F58" s="772"/>
      <c r="G58" s="631">
        <v>40999</v>
      </c>
      <c r="H58" s="651" t="str">
        <f>'Løntabel gældende fra'!$D$1</f>
        <v>01/04/2019</v>
      </c>
    </row>
    <row r="59" spans="1:8" ht="16.5" customHeight="1">
      <c r="A59" s="1671" t="s">
        <v>470</v>
      </c>
      <c r="B59" s="1672"/>
      <c r="C59" s="1672"/>
      <c r="D59" s="1672"/>
      <c r="E59" s="1672"/>
      <c r="F59" s="1753" t="s">
        <v>171</v>
      </c>
      <c r="G59" s="1735">
        <v>39.92</v>
      </c>
      <c r="H59" s="1726">
        <f>G59+G59*'Løntabel gældende fra'!$D$7%</f>
        <v>43.309647120000001</v>
      </c>
    </row>
    <row r="60" spans="1:8" ht="16" customHeight="1">
      <c r="A60" s="1690"/>
      <c r="B60" s="1691"/>
      <c r="C60" s="1691"/>
      <c r="D60" s="1691"/>
      <c r="E60" s="1691"/>
      <c r="F60" s="1754"/>
      <c r="G60" s="1736"/>
      <c r="H60" s="1727"/>
    </row>
    <row r="61" spans="1:8" ht="16" customHeight="1">
      <c r="A61" s="1692" t="s">
        <v>249</v>
      </c>
      <c r="B61" s="1693"/>
      <c r="C61" s="1693"/>
      <c r="D61" s="1693"/>
      <c r="E61" s="1693"/>
      <c r="F61" s="760" t="s">
        <v>171</v>
      </c>
      <c r="G61" s="630">
        <v>39.92</v>
      </c>
      <c r="H61" s="654">
        <f>G61+G61*'Løntabel gældende fra'!$D$7%</f>
        <v>43.309647120000001</v>
      </c>
    </row>
    <row r="62" spans="1:8" s="251" customFormat="1" ht="15.75" customHeight="1">
      <c r="A62" s="1692" t="s">
        <v>229</v>
      </c>
      <c r="B62" s="1693"/>
      <c r="C62" s="1693"/>
      <c r="D62" s="1693"/>
      <c r="E62" s="1693"/>
      <c r="F62" s="760" t="s">
        <v>171</v>
      </c>
      <c r="G62" s="630">
        <v>22.32</v>
      </c>
      <c r="H62" s="654">
        <f>G62+G62*'Løntabel gældende fra'!$D$7%</f>
        <v>24.215213519999999</v>
      </c>
    </row>
    <row r="63" spans="1:8" s="251" customFormat="1" ht="16">
      <c r="A63" s="1694" t="s">
        <v>170</v>
      </c>
      <c r="B63" s="1695"/>
      <c r="C63" s="1695"/>
      <c r="D63" s="1695"/>
      <c r="E63" s="1695"/>
      <c r="F63" s="769" t="s">
        <v>171</v>
      </c>
      <c r="G63" s="630">
        <v>39.92</v>
      </c>
      <c r="H63" s="654">
        <f>G63+G63*'Løntabel gældende fra'!$D$7%</f>
        <v>43.309647120000001</v>
      </c>
    </row>
    <row r="64" spans="1:8" ht="16">
      <c r="A64" s="1694" t="s">
        <v>460</v>
      </c>
      <c r="B64" s="1695"/>
      <c r="C64" s="1695"/>
      <c r="D64" s="1695"/>
      <c r="E64" s="1695"/>
      <c r="F64" s="769" t="s">
        <v>172</v>
      </c>
      <c r="G64" s="630">
        <v>39.92</v>
      </c>
      <c r="H64" s="654">
        <f>G64+G64*'Løntabel gældende fra'!$D$7%</f>
        <v>43.309647120000001</v>
      </c>
    </row>
    <row r="65" spans="1:8" ht="16">
      <c r="A65" s="1694" t="s">
        <v>461</v>
      </c>
      <c r="B65" s="1695"/>
      <c r="C65" s="1695"/>
      <c r="D65" s="1695"/>
      <c r="E65" s="1695"/>
      <c r="F65" s="769" t="s">
        <v>172</v>
      </c>
      <c r="G65" s="630">
        <v>91.84</v>
      </c>
      <c r="H65" s="654">
        <f>G65+G65*'Løntabel gældende fra'!$D$7%</f>
        <v>99.638226240000009</v>
      </c>
    </row>
    <row r="66" spans="1:8" ht="17" thickBot="1">
      <c r="A66" s="1696" t="s">
        <v>462</v>
      </c>
      <c r="B66" s="1697"/>
      <c r="C66" s="1697"/>
      <c r="D66" s="1697"/>
      <c r="E66" s="1697"/>
      <c r="F66" s="770" t="s">
        <v>171</v>
      </c>
      <c r="G66" s="629">
        <v>27.81</v>
      </c>
      <c r="H66" s="653">
        <f>G66+G66*'Løntabel gældende fra'!$D$7%</f>
        <v>30.171374909999997</v>
      </c>
    </row>
    <row r="67" spans="1:8" ht="15" thickBot="1">
      <c r="A67" s="283"/>
      <c r="B67" s="283"/>
      <c r="C67" s="283"/>
      <c r="D67" s="283"/>
      <c r="E67" s="283"/>
      <c r="F67" s="270"/>
      <c r="G67" s="270"/>
    </row>
    <row r="68" spans="1:8" s="573" customFormat="1" ht="27" customHeight="1" thickBot="1">
      <c r="A68" s="1746" t="s">
        <v>160</v>
      </c>
      <c r="B68" s="1747"/>
      <c r="C68" s="1747"/>
      <c r="D68" s="1747"/>
      <c r="E68" s="1747"/>
      <c r="F68" s="1747"/>
      <c r="G68" s="1748"/>
      <c r="H68" s="249"/>
    </row>
    <row r="69" spans="1:8" ht="16">
      <c r="A69" s="1707" t="s">
        <v>168</v>
      </c>
      <c r="B69" s="1708"/>
      <c r="C69" s="1709"/>
      <c r="D69" s="1677" t="s">
        <v>373</v>
      </c>
      <c r="E69" s="1677"/>
      <c r="F69" s="1666" t="s">
        <v>374</v>
      </c>
      <c r="G69" s="1667"/>
    </row>
    <row r="70" spans="1:8" ht="13" customHeight="1" thickBot="1">
      <c r="A70" s="1710"/>
      <c r="B70" s="1711"/>
      <c r="C70" s="1712"/>
      <c r="D70" s="1705">
        <v>40999</v>
      </c>
      <c r="E70" s="1706"/>
      <c r="F70" s="1700" t="str">
        <f>'Løntabel gældende fra'!$D$1</f>
        <v>01/04/2019</v>
      </c>
      <c r="G70" s="1701"/>
    </row>
    <row r="71" spans="1:8" ht="15" customHeight="1">
      <c r="A71" s="1719" t="s">
        <v>161</v>
      </c>
      <c r="B71" s="1720"/>
      <c r="C71" s="1721"/>
      <c r="D71" s="1716">
        <v>137</v>
      </c>
      <c r="E71" s="1704"/>
      <c r="F71" s="1703">
        <f>+D71*(1+'Løntabel gældende fra'!$D$7/100)</f>
        <v>148.63280699999999</v>
      </c>
      <c r="G71" s="1704"/>
    </row>
    <row r="72" spans="1:8" ht="17" thickBot="1">
      <c r="A72" s="1713" t="s">
        <v>162</v>
      </c>
      <c r="B72" s="1714"/>
      <c r="C72" s="1715"/>
      <c r="D72" s="1717">
        <v>183</v>
      </c>
      <c r="E72" s="1718"/>
      <c r="F72" s="1698">
        <f>+D72*(1+'Løntabel gældende fra'!$D$7/100)</f>
        <v>198.538713</v>
      </c>
      <c r="G72" s="1699"/>
    </row>
    <row r="73" spans="1:8" ht="15" thickBot="1">
      <c r="A73" s="43"/>
      <c r="B73" s="43"/>
      <c r="C73" s="43"/>
      <c r="D73" s="240"/>
      <c r="E73" s="240"/>
      <c r="F73" s="240"/>
      <c r="G73" s="240"/>
    </row>
    <row r="74" spans="1:8" ht="17" thickBot="1">
      <c r="A74" s="1702" t="str">
        <f>"Unge under 18 år, pr. arbejdstime (60 minutter) pr. "&amp;'Løntabel gældende fra'!D1&amp;""</f>
        <v>Unge under 18 år, pr. arbejdstime (60 minutter) pr. 01/04/2019</v>
      </c>
      <c r="B74" s="1127"/>
      <c r="C74" s="1127"/>
      <c r="D74" s="1127"/>
      <c r="E74" s="1127"/>
      <c r="F74" s="1128"/>
    </row>
    <row r="75" spans="1:8" ht="19" customHeight="1" thickBot="1">
      <c r="A75" s="655" t="s">
        <v>163</v>
      </c>
      <c r="B75" s="656" t="s">
        <v>76</v>
      </c>
      <c r="C75" s="656" t="s">
        <v>77</v>
      </c>
      <c r="D75" s="656" t="s">
        <v>78</v>
      </c>
      <c r="E75" s="656" t="s">
        <v>79</v>
      </c>
      <c r="F75" s="657" t="s">
        <v>80</v>
      </c>
    </row>
    <row r="76" spans="1:8" ht="17">
      <c r="A76" s="731" t="s">
        <v>164</v>
      </c>
      <c r="B76" s="658">
        <f>0.66*B8/160.33</f>
        <v>84.710236387450877</v>
      </c>
      <c r="C76" s="659">
        <f>0.66*C8/160.33</f>
        <v>86.474160793363666</v>
      </c>
      <c r="D76" s="659">
        <f>0.66*D8/160.33</f>
        <v>87.695364560593774</v>
      </c>
      <c r="E76" s="659">
        <f>0.66*E8/160.33</f>
        <v>89.458959645730673</v>
      </c>
      <c r="F76" s="660">
        <f>0.66*F8/160.33</f>
        <v>90.680204578057754</v>
      </c>
    </row>
    <row r="77" spans="1:8" ht="17" thickBot="1">
      <c r="A77" s="650" t="s">
        <v>165</v>
      </c>
      <c r="B77" s="661">
        <f>0.74*B8/160.33</f>
        <v>94.978143828354007</v>
      </c>
      <c r="C77" s="662">
        <f>0.74*C8/160.33</f>
        <v>96.95587725316534</v>
      </c>
      <c r="D77" s="662">
        <f>0.74*D8/160.33</f>
        <v>98.325105719453617</v>
      </c>
      <c r="E77" s="662">
        <f>0.74*E8/160.33</f>
        <v>100.30246990581924</v>
      </c>
      <c r="F77" s="663">
        <f>0.74*F8/160.33</f>
        <v>101.67174452691323</v>
      </c>
    </row>
    <row r="78" spans="1:8" ht="15" thickBot="1">
      <c r="A78" s="252"/>
      <c r="B78" s="253"/>
      <c r="C78" s="253"/>
      <c r="D78" s="253"/>
      <c r="E78" s="253"/>
      <c r="F78" s="253"/>
    </row>
    <row r="79" spans="1:8" ht="16.5" customHeight="1" thickBot="1">
      <c r="A79" s="1746" t="s">
        <v>166</v>
      </c>
      <c r="B79" s="1747"/>
      <c r="C79" s="1747"/>
      <c r="D79" s="1747"/>
      <c r="E79" s="1747"/>
      <c r="F79" s="1747"/>
      <c r="G79" s="1748"/>
    </row>
    <row r="80" spans="1:8" ht="18.75" customHeight="1">
      <c r="A80" s="1707" t="s">
        <v>167</v>
      </c>
      <c r="B80" s="1708"/>
      <c r="C80" s="1709"/>
      <c r="D80" s="1666" t="s">
        <v>102</v>
      </c>
      <c r="E80" s="1667"/>
      <c r="F80" s="1666" t="s">
        <v>295</v>
      </c>
      <c r="G80" s="1667"/>
    </row>
    <row r="81" spans="1:8" ht="17" thickBot="1">
      <c r="A81" s="1710"/>
      <c r="B81" s="1711"/>
      <c r="C81" s="1712"/>
      <c r="D81" s="1700">
        <v>40999</v>
      </c>
      <c r="E81" s="1722"/>
      <c r="F81" s="1700" t="str">
        <f>'Løntabel gældende fra'!$D$1</f>
        <v>01/04/2019</v>
      </c>
      <c r="G81" s="1701"/>
    </row>
    <row r="82" spans="1:8" ht="16">
      <c r="A82" s="1719" t="s">
        <v>321</v>
      </c>
      <c r="B82" s="1720"/>
      <c r="C82" s="1721"/>
      <c r="D82" s="1716">
        <v>10189</v>
      </c>
      <c r="E82" s="1704"/>
      <c r="F82" s="1703">
        <f>+D82*(1+'Løntabel gældende fra'!$D$7/100)</f>
        <v>11054.158179</v>
      </c>
      <c r="G82" s="1704">
        <f>+E82*(1+'Løntabel gældende fra'!$D$7/100)</f>
        <v>0</v>
      </c>
    </row>
    <row r="83" spans="1:8" ht="17" thickBot="1">
      <c r="A83" s="1713" t="s">
        <v>322</v>
      </c>
      <c r="B83" s="1714"/>
      <c r="C83" s="1715"/>
      <c r="D83" s="1717">
        <v>10519</v>
      </c>
      <c r="E83" s="1718"/>
      <c r="F83" s="1698">
        <f>+D83*(1+'Løntabel gældende fra'!$D$7/100)</f>
        <v>11412.178808999999</v>
      </c>
      <c r="G83" s="1699">
        <f>+E83*(1+'Løntabel gældende fra'!$D$7/100)</f>
        <v>0</v>
      </c>
    </row>
    <row r="84" spans="1:8" ht="16">
      <c r="A84" s="664"/>
      <c r="B84" s="665"/>
      <c r="C84" s="665"/>
      <c r="D84" s="665"/>
      <c r="E84" s="665"/>
      <c r="F84" s="665"/>
      <c r="G84" s="666"/>
      <c r="H84" s="250"/>
    </row>
    <row r="85" spans="1:8">
      <c r="F85" s="250"/>
    </row>
    <row r="86" spans="1:8">
      <c r="A86" s="259"/>
      <c r="B86" s="259"/>
      <c r="C86" s="259"/>
      <c r="H86" s="251"/>
    </row>
    <row r="87" spans="1:8">
      <c r="A87" s="251"/>
      <c r="B87" s="251"/>
      <c r="C87" s="251"/>
      <c r="D87" s="251"/>
      <c r="E87" s="251"/>
      <c r="F87" s="251"/>
      <c r="G87" s="251"/>
    </row>
  </sheetData>
  <sheetProtection sheet="1" objects="1" scenarios="1"/>
  <mergeCells count="60">
    <mergeCell ref="A82:C82"/>
    <mergeCell ref="D82:E82"/>
    <mergeCell ref="F82:G82"/>
    <mergeCell ref="D44:E44"/>
    <mergeCell ref="F44:G44"/>
    <mergeCell ref="D45:E45"/>
    <mergeCell ref="F45:G45"/>
    <mergeCell ref="A79:G79"/>
    <mergeCell ref="D46:E46"/>
    <mergeCell ref="F46:G46"/>
    <mergeCell ref="A55:H55"/>
    <mergeCell ref="A68:G68"/>
    <mergeCell ref="A62:E62"/>
    <mergeCell ref="F59:F60"/>
    <mergeCell ref="A80:C81"/>
    <mergeCell ref="D80:E80"/>
    <mergeCell ref="A1:H1"/>
    <mergeCell ref="A2:H2"/>
    <mergeCell ref="A3:H3"/>
    <mergeCell ref="G33:H33"/>
    <mergeCell ref="A5:F5"/>
    <mergeCell ref="A34:H34"/>
    <mergeCell ref="H59:H60"/>
    <mergeCell ref="A33:C33"/>
    <mergeCell ref="A6:H6"/>
    <mergeCell ref="G5:H5"/>
    <mergeCell ref="A42:H42"/>
    <mergeCell ref="A43:H43"/>
    <mergeCell ref="G59:G60"/>
    <mergeCell ref="F83:G83"/>
    <mergeCell ref="F81:G81"/>
    <mergeCell ref="F80:G80"/>
    <mergeCell ref="A74:F74"/>
    <mergeCell ref="F70:G70"/>
    <mergeCell ref="F71:G71"/>
    <mergeCell ref="F72:G72"/>
    <mergeCell ref="D70:E70"/>
    <mergeCell ref="A69:C70"/>
    <mergeCell ref="A72:C72"/>
    <mergeCell ref="D71:E71"/>
    <mergeCell ref="D72:E72"/>
    <mergeCell ref="A71:C71"/>
    <mergeCell ref="A83:C83"/>
    <mergeCell ref="D83:E83"/>
    <mergeCell ref="D81:E81"/>
    <mergeCell ref="F69:G69"/>
    <mergeCell ref="A44:C46"/>
    <mergeCell ref="A48:H48"/>
    <mergeCell ref="A49:H49"/>
    <mergeCell ref="A50:F51"/>
    <mergeCell ref="A52:F52"/>
    <mergeCell ref="A53:F53"/>
    <mergeCell ref="A56:H56"/>
    <mergeCell ref="A59:E60"/>
    <mergeCell ref="A61:E61"/>
    <mergeCell ref="A63:E63"/>
    <mergeCell ref="A64:E64"/>
    <mergeCell ref="A65:E65"/>
    <mergeCell ref="A66:E66"/>
    <mergeCell ref="D69:E69"/>
  </mergeCells>
  <phoneticPr fontId="6" type="noConversion"/>
  <pageMargins left="0.7" right="0.7" top="0.75" bottom="0.75" header="0.3" footer="0.3"/>
  <pageSetup paperSize="9" scale="63" fitToHeight="2" orientation="portrait" r:id="rId1"/>
  <headerFooter alignWithMargins="0">
    <oddFooter>&amp;C&amp;"Times New Roman,Normal"&amp;8&amp;K000000Løntabel BUPL/Aftaleenheden.&amp;R&amp;"Times New Roman,Normal"&amp;8&amp;K000000&amp;Paf i alt &amp;N</oddFooter>
  </headerFooter>
  <rowBreaks count="1" manualBreakCount="1">
    <brk id="40"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9"/>
  <sheetViews>
    <sheetView view="pageBreakPreview" zoomScaleNormal="125" zoomScaleSheetLayoutView="100" zoomScalePageLayoutView="125" workbookViewId="0">
      <selection activeCell="H12" sqref="H12"/>
    </sheetView>
  </sheetViews>
  <sheetFormatPr baseColWidth="10" defaultColWidth="8.83203125" defaultRowHeight="13"/>
  <cols>
    <col min="1" max="1" width="9" style="229" customWidth="1"/>
    <col min="2" max="3" width="11.1640625" style="229" customWidth="1"/>
    <col min="4" max="4" width="11.33203125" style="229" customWidth="1"/>
    <col min="5" max="6" width="10.6640625" style="229" customWidth="1"/>
    <col min="7" max="7" width="10.1640625" style="229" customWidth="1"/>
    <col min="8" max="8" width="10.83203125" style="229" customWidth="1"/>
    <col min="9" max="9" width="11.1640625" style="229" customWidth="1"/>
    <col min="10" max="10" width="9.1640625" style="229" customWidth="1"/>
    <col min="11" max="16384" width="8.83203125" style="229"/>
  </cols>
  <sheetData>
    <row r="1" spans="1:16" ht="20">
      <c r="A1" s="1250" t="s">
        <v>19</v>
      </c>
      <c r="B1" s="1251"/>
      <c r="C1" s="1251"/>
      <c r="D1" s="1251"/>
      <c r="E1" s="1251"/>
      <c r="F1" s="1251"/>
      <c r="G1" s="1251"/>
      <c r="H1" s="1251"/>
      <c r="I1" s="1251"/>
      <c r="J1" s="1252"/>
    </row>
    <row r="2" spans="1:16" ht="20">
      <c r="A2" s="1778" t="s">
        <v>196</v>
      </c>
      <c r="B2" s="1779"/>
      <c r="C2" s="1779"/>
      <c r="D2" s="1779"/>
      <c r="E2" s="1779"/>
      <c r="F2" s="1779"/>
      <c r="G2" s="1779"/>
      <c r="H2" s="1779"/>
      <c r="I2" s="1779"/>
      <c r="J2" s="1780"/>
    </row>
    <row r="3" spans="1:16" ht="21" thickBot="1">
      <c r="A3" s="1364" t="s">
        <v>231</v>
      </c>
      <c r="B3" s="1365"/>
      <c r="C3" s="1365"/>
      <c r="D3" s="1365"/>
      <c r="E3" s="1365"/>
      <c r="F3" s="1365"/>
      <c r="G3" s="1365"/>
      <c r="H3" s="1365"/>
      <c r="I3" s="1365"/>
      <c r="J3" s="1366"/>
    </row>
    <row r="4" spans="1:16" ht="23">
      <c r="A4" s="1787"/>
      <c r="B4" s="1788"/>
      <c r="C4" s="1788"/>
      <c r="D4" s="1788"/>
      <c r="E4" s="1788"/>
      <c r="F4" s="1788"/>
      <c r="G4" s="1788"/>
      <c r="H4" s="1788"/>
      <c r="I4" s="1788"/>
      <c r="J4" s="249"/>
    </row>
    <row r="5" spans="1:16" ht="47.25" customHeight="1">
      <c r="A5" s="1073" t="s">
        <v>251</v>
      </c>
      <c r="B5" s="1074"/>
      <c r="C5" s="1074"/>
      <c r="D5" s="1074"/>
      <c r="E5" s="1074"/>
      <c r="F5" s="1074"/>
      <c r="G5" s="1074"/>
      <c r="H5" s="1074"/>
      <c r="I5" s="1074"/>
      <c r="J5" s="249"/>
    </row>
    <row r="6" spans="1:16" ht="8" customHeight="1">
      <c r="A6" s="273"/>
      <c r="B6" s="273"/>
      <c r="C6" s="273"/>
      <c r="D6" s="273"/>
      <c r="E6" s="273"/>
      <c r="F6" s="273"/>
      <c r="G6" s="273"/>
      <c r="H6" s="273"/>
      <c r="I6" s="273"/>
      <c r="J6" s="249"/>
      <c r="L6" s="260"/>
      <c r="M6" s="259"/>
      <c r="N6" s="259"/>
      <c r="O6" s="259"/>
      <c r="P6" s="259"/>
    </row>
    <row r="7" spans="1:16" ht="18" customHeight="1" thickBot="1">
      <c r="A7" s="273"/>
      <c r="B7" s="273"/>
      <c r="C7" s="273"/>
      <c r="D7" s="273"/>
      <c r="E7" s="273"/>
      <c r="F7" s="273"/>
      <c r="G7" s="273"/>
      <c r="H7" s="273"/>
      <c r="I7" s="273"/>
      <c r="J7" s="249"/>
      <c r="L7" s="260"/>
      <c r="M7" s="259"/>
      <c r="N7" s="259"/>
      <c r="O7" s="259"/>
      <c r="P7" s="259"/>
    </row>
    <row r="8" spans="1:16" ht="19" thickBot="1">
      <c r="A8" s="1784" t="s">
        <v>15</v>
      </c>
      <c r="B8" s="1785"/>
      <c r="C8" s="1785"/>
      <c r="D8" s="1785"/>
      <c r="E8" s="1785"/>
      <c r="F8" s="1786"/>
      <c r="G8" s="1781" t="s">
        <v>174</v>
      </c>
      <c r="H8" s="1782"/>
      <c r="I8" s="1782"/>
      <c r="J8" s="1783"/>
      <c r="L8" s="260"/>
      <c r="M8" s="259"/>
      <c r="N8" s="259"/>
      <c r="O8" s="259"/>
      <c r="P8" s="259"/>
    </row>
    <row r="9" spans="1:16" ht="42">
      <c r="A9" s="484" t="s">
        <v>57</v>
      </c>
      <c r="B9" s="484" t="s">
        <v>76</v>
      </c>
      <c r="C9" s="487" t="s">
        <v>77</v>
      </c>
      <c r="D9" s="484" t="s">
        <v>78</v>
      </c>
      <c r="E9" s="484" t="s">
        <v>79</v>
      </c>
      <c r="F9" s="484" t="s">
        <v>80</v>
      </c>
      <c r="G9" s="488" t="s">
        <v>191</v>
      </c>
      <c r="H9" s="489" t="s">
        <v>193</v>
      </c>
      <c r="I9" s="489" t="s">
        <v>194</v>
      </c>
      <c r="J9" s="490">
        <v>0.14000000000000001</v>
      </c>
    </row>
    <row r="10" spans="1:16" ht="15" customHeight="1">
      <c r="A10" s="397" t="s">
        <v>239</v>
      </c>
      <c r="B10" s="300">
        <f>+'Statens skalatrin'!D46+F24/12</f>
        <v>20755.100902249997</v>
      </c>
      <c r="C10" s="301">
        <f>+'Statens skalatrin'!F46+F24/12</f>
        <v>21183.600902249997</v>
      </c>
      <c r="D10" s="302">
        <f>+'Statens skalatrin'!H46+F24/12</f>
        <v>21480.26090225</v>
      </c>
      <c r="E10" s="300">
        <f>+'Statens skalatrin'!J46+F24/12</f>
        <v>21908.680902249998</v>
      </c>
      <c r="F10" s="300">
        <f>+'Statens skalatrin'!L46+F24/12</f>
        <v>22205.350902249997</v>
      </c>
      <c r="G10" s="303">
        <f>+'Statens skalatrin'!O46+F24/12</f>
        <v>19416.850902249997</v>
      </c>
      <c r="H10" s="304">
        <f>J10*1/3</f>
        <v>906.11970877166652</v>
      </c>
      <c r="I10" s="305">
        <f>J10*2/3</f>
        <v>1812.239417543333</v>
      </c>
      <c r="J10" s="305">
        <f>G10*$J$9</f>
        <v>2718.3591263149997</v>
      </c>
    </row>
    <row r="11" spans="1:16" ht="15" customHeight="1">
      <c r="A11" s="312">
        <v>17</v>
      </c>
      <c r="B11" s="300">
        <f>+'Statens skalatrin'!D55</f>
        <v>21608.25</v>
      </c>
      <c r="C11" s="301">
        <f>+'Statens skalatrin'!F55</f>
        <v>22070.17</v>
      </c>
      <c r="D11" s="302">
        <f>+'Statens skalatrin'!H55</f>
        <v>22389.919999999998</v>
      </c>
      <c r="E11" s="300">
        <f>'Statens skalatrin'!J55</f>
        <v>22851.75</v>
      </c>
      <c r="F11" s="300">
        <f>+'Statens skalatrin'!L55</f>
        <v>23171.33</v>
      </c>
      <c r="G11" s="303">
        <f>+'Statens skalatrin'!O55</f>
        <v>20294.53</v>
      </c>
      <c r="H11" s="304">
        <f>J11*1/3</f>
        <v>947.07806666666681</v>
      </c>
      <c r="I11" s="305">
        <f>J11*2/3</f>
        <v>1894.1561333333336</v>
      </c>
      <c r="J11" s="305">
        <f>G11*$J$9</f>
        <v>2841.2342000000003</v>
      </c>
    </row>
    <row r="12" spans="1:16" ht="17" customHeight="1" thickBot="1">
      <c r="A12" s="313" t="s">
        <v>175</v>
      </c>
      <c r="B12" s="306">
        <f>+'Statens skalatrin'!D64+F25/12</f>
        <v>22657.166724500003</v>
      </c>
      <c r="C12" s="307">
        <f>+'Statens skalatrin'!F64+F25/12</f>
        <v>23155.086724500001</v>
      </c>
      <c r="D12" s="308">
        <f>+'Statens skalatrin'!H64+F25/12</f>
        <v>23499.916724500003</v>
      </c>
      <c r="E12" s="306">
        <f>+'Statens skalatrin'!J64+F25/12</f>
        <v>23997.836724500001</v>
      </c>
      <c r="F12" s="306">
        <f>+'Statens skalatrin'!L64+F25/12</f>
        <v>24342.506724499999</v>
      </c>
      <c r="G12" s="309">
        <f>+'Statens skalatrin'!O64+F25/12</f>
        <v>21488.7967245</v>
      </c>
      <c r="H12" s="310">
        <f>J12*1/3</f>
        <v>1002.8105138100001</v>
      </c>
      <c r="I12" s="311">
        <f>J12*2/3</f>
        <v>2005.6210276200002</v>
      </c>
      <c r="J12" s="311">
        <f>G12*$J$9</f>
        <v>3008.4315414300004</v>
      </c>
    </row>
    <row r="13" spans="1:16" ht="17" customHeight="1">
      <c r="A13" s="259" t="s">
        <v>252</v>
      </c>
      <c r="B13" s="253"/>
      <c r="C13" s="253"/>
      <c r="D13" s="253"/>
      <c r="E13" s="253"/>
      <c r="F13" s="253"/>
      <c r="G13" s="277"/>
      <c r="H13" s="278"/>
      <c r="I13" s="279"/>
      <c r="J13" s="279"/>
    </row>
    <row r="14" spans="1:16" ht="16" customHeight="1" thickBot="1">
      <c r="A14" s="274"/>
      <c r="B14" s="274"/>
      <c r="C14" s="274"/>
      <c r="D14" s="274"/>
      <c r="E14" s="274"/>
      <c r="F14" s="274"/>
      <c r="G14" s="274"/>
      <c r="H14" s="274"/>
      <c r="I14" s="274"/>
      <c r="J14" s="249"/>
      <c r="L14" s="276"/>
    </row>
    <row r="15" spans="1:16" ht="16" customHeight="1" thickBot="1">
      <c r="A15" s="1781" t="s">
        <v>176</v>
      </c>
      <c r="B15" s="1782"/>
      <c r="C15" s="1782"/>
      <c r="D15" s="1782"/>
      <c r="E15" s="1782"/>
      <c r="F15" s="1783"/>
      <c r="G15" s="259"/>
      <c r="H15" s="259"/>
      <c r="I15" s="259"/>
      <c r="J15" s="249"/>
      <c r="L15" s="276"/>
    </row>
    <row r="16" spans="1:16" ht="16" customHeight="1" thickBot="1">
      <c r="A16" s="263" t="s">
        <v>177</v>
      </c>
      <c r="B16" s="264"/>
      <c r="C16" s="264"/>
      <c r="D16" s="264"/>
      <c r="E16" s="264"/>
      <c r="F16" s="265"/>
      <c r="G16" s="259"/>
      <c r="H16" s="259"/>
      <c r="I16" s="259"/>
      <c r="J16" s="249"/>
      <c r="L16" s="276"/>
    </row>
    <row r="17" spans="1:10" ht="16" customHeight="1">
      <c r="A17" s="484" t="s">
        <v>57</v>
      </c>
      <c r="B17" s="485" t="s">
        <v>76</v>
      </c>
      <c r="C17" s="484" t="s">
        <v>77</v>
      </c>
      <c r="D17" s="485" t="s">
        <v>78</v>
      </c>
      <c r="E17" s="484" t="s">
        <v>79</v>
      </c>
      <c r="F17" s="486" t="s">
        <v>80</v>
      </c>
      <c r="G17" s="259"/>
      <c r="H17" s="259"/>
      <c r="I17" s="259"/>
      <c r="J17" s="249"/>
    </row>
    <row r="18" spans="1:10" ht="16" customHeight="1" thickBot="1">
      <c r="A18" s="317">
        <v>14</v>
      </c>
      <c r="B18" s="314">
        <f>B10*12/1924</f>
        <v>129.44969377702702</v>
      </c>
      <c r="C18" s="315">
        <f>C10*12/1924</f>
        <v>132.12225094958418</v>
      </c>
      <c r="D18" s="314">
        <f>D10*12/1924</f>
        <v>133.97252121985449</v>
      </c>
      <c r="E18" s="315">
        <f>E10*12/1924</f>
        <v>136.64457943191269</v>
      </c>
      <c r="F18" s="316">
        <f>F10*12/1924</f>
        <v>138.49491207224531</v>
      </c>
      <c r="G18" s="259"/>
      <c r="H18" s="258"/>
      <c r="I18" s="258"/>
      <c r="J18" s="249"/>
    </row>
    <row r="19" spans="1:10" ht="15" customHeight="1">
      <c r="A19" s="268"/>
      <c r="B19" s="267"/>
      <c r="C19" s="267"/>
      <c r="D19" s="267"/>
      <c r="E19" s="267"/>
      <c r="F19" s="267"/>
      <c r="G19" s="259"/>
      <c r="H19" s="258"/>
      <c r="I19" s="258"/>
      <c r="J19" s="249"/>
    </row>
    <row r="20" spans="1:10" ht="13" customHeight="1" thickBot="1">
      <c r="A20" s="268"/>
      <c r="B20" s="267"/>
      <c r="C20" s="267"/>
      <c r="D20" s="267"/>
      <c r="E20" s="267"/>
      <c r="F20" s="267"/>
      <c r="G20" s="259"/>
      <c r="H20" s="258"/>
      <c r="I20" s="258"/>
      <c r="J20" s="249"/>
    </row>
    <row r="21" spans="1:10" ht="15" customHeight="1" thickBot="1">
      <c r="A21" s="1159" t="s">
        <v>169</v>
      </c>
      <c r="B21" s="1160"/>
      <c r="C21" s="1160"/>
      <c r="D21" s="1160"/>
      <c r="E21" s="1160"/>
      <c r="F21" s="1161"/>
      <c r="G21" s="223"/>
      <c r="H21" s="223"/>
      <c r="I21" s="223"/>
      <c r="J21" s="249"/>
    </row>
    <row r="22" spans="1:10" ht="15" customHeight="1">
      <c r="A22" s="1755" t="s">
        <v>188</v>
      </c>
      <c r="B22" s="1756"/>
      <c r="C22" s="1756"/>
      <c r="D22" s="1756"/>
      <c r="E22" s="478" t="s">
        <v>99</v>
      </c>
      <c r="F22" s="482" t="s">
        <v>104</v>
      </c>
      <c r="G22" s="270"/>
      <c r="H22" s="259"/>
      <c r="I22" s="259"/>
      <c r="J22" s="249"/>
    </row>
    <row r="23" spans="1:10" ht="15" customHeight="1" thickBot="1">
      <c r="A23" s="1758"/>
      <c r="B23" s="1759"/>
      <c r="C23" s="1759"/>
      <c r="D23" s="1759"/>
      <c r="E23" s="480">
        <v>40999</v>
      </c>
      <c r="F23" s="483" t="str">
        <f>'Løntabel gældende fra'!$D$1</f>
        <v>01/04/2019</v>
      </c>
      <c r="G23" s="270"/>
      <c r="H23" s="259"/>
      <c r="I23" s="259"/>
      <c r="J23" s="249"/>
    </row>
    <row r="24" spans="1:10" ht="15" customHeight="1" thickBot="1">
      <c r="A24" s="1791" t="s">
        <v>238</v>
      </c>
      <c r="B24" s="1792"/>
      <c r="C24" s="1792"/>
      <c r="D24" s="458"/>
      <c r="E24" s="326">
        <v>1957</v>
      </c>
      <c r="F24" s="318">
        <f>E24+E24*'Løntabel gældende fra'!$D$7%</f>
        <v>2123.1708269999999</v>
      </c>
      <c r="G24" s="270"/>
      <c r="H24" s="259"/>
      <c r="I24" s="259"/>
      <c r="J24" s="249"/>
    </row>
    <row r="25" spans="1:10" ht="15" customHeight="1" thickBot="1">
      <c r="A25" s="1789" t="s">
        <v>189</v>
      </c>
      <c r="B25" s="1790"/>
      <c r="C25" s="1790"/>
      <c r="D25" s="459"/>
      <c r="E25" s="326">
        <v>554</v>
      </c>
      <c r="F25" s="318">
        <f>E25+E25*'Løntabel gældende fra'!$D$7%</f>
        <v>601.04069400000003</v>
      </c>
      <c r="G25" s="270"/>
      <c r="H25" s="259"/>
      <c r="I25" s="259"/>
      <c r="J25" s="249"/>
    </row>
    <row r="26" spans="1:10" ht="15" customHeight="1">
      <c r="A26" s="269"/>
      <c r="B26" s="267"/>
      <c r="C26" s="267"/>
      <c r="D26" s="267"/>
      <c r="E26" s="267"/>
      <c r="F26" s="267"/>
      <c r="G26" s="259"/>
      <c r="H26" s="259"/>
      <c r="I26" s="259"/>
      <c r="J26" s="249"/>
    </row>
    <row r="27" spans="1:10" ht="15" customHeight="1" thickBot="1">
      <c r="A27" s="269"/>
      <c r="B27" s="267"/>
      <c r="C27" s="267"/>
      <c r="D27" s="267"/>
      <c r="E27" s="267"/>
      <c r="F27" s="267"/>
      <c r="G27" s="259"/>
      <c r="H27" s="259"/>
      <c r="I27" s="259"/>
      <c r="J27" s="249"/>
    </row>
    <row r="28" spans="1:10" ht="15" customHeight="1" thickBot="1">
      <c r="A28" s="1159" t="s">
        <v>178</v>
      </c>
      <c r="B28" s="1160"/>
      <c r="C28" s="1160"/>
      <c r="D28" s="1160"/>
      <c r="E28" s="1160"/>
      <c r="F28" s="1160"/>
      <c r="G28" s="1160"/>
      <c r="H28" s="1160"/>
      <c r="I28" s="1161"/>
      <c r="J28" s="249"/>
    </row>
    <row r="29" spans="1:10" ht="15" customHeight="1" thickBot="1">
      <c r="A29" s="1763"/>
      <c r="B29" s="1764"/>
      <c r="C29" s="1764"/>
      <c r="D29" s="1764"/>
      <c r="E29" s="1764"/>
      <c r="F29" s="1764"/>
      <c r="G29" s="1764"/>
      <c r="H29" s="478" t="s">
        <v>99</v>
      </c>
      <c r="I29" s="479" t="s">
        <v>104</v>
      </c>
      <c r="J29" s="249"/>
    </row>
    <row r="30" spans="1:10" ht="15" customHeight="1" thickBot="1">
      <c r="A30" s="1765"/>
      <c r="B30" s="1766"/>
      <c r="C30" s="1766"/>
      <c r="D30" s="1766"/>
      <c r="E30" s="1766"/>
      <c r="F30" s="1766"/>
      <c r="G30" s="1767"/>
      <c r="H30" s="480">
        <v>40999</v>
      </c>
      <c r="I30" s="481" t="str">
        <f>'Løntabel gældende fra'!$D$1</f>
        <v>01/04/2019</v>
      </c>
      <c r="J30" s="249"/>
    </row>
    <row r="31" spans="1:10" ht="15" customHeight="1">
      <c r="A31" s="1768" t="s">
        <v>179</v>
      </c>
      <c r="B31" s="1769"/>
      <c r="C31" s="1769"/>
      <c r="D31" s="1769"/>
      <c r="E31" s="1769"/>
      <c r="F31" s="254"/>
      <c r="G31" s="256" t="s">
        <v>171</v>
      </c>
      <c r="H31" s="319">
        <v>22.32</v>
      </c>
      <c r="I31" s="320">
        <f>H31+H31*'Løntabel gældende fra'!$D$7%</f>
        <v>24.215213519999999</v>
      </c>
      <c r="J31" s="249"/>
    </row>
    <row r="32" spans="1:10" ht="15" customHeight="1">
      <c r="A32" s="1776" t="s">
        <v>180</v>
      </c>
      <c r="B32" s="1777"/>
      <c r="C32" s="1777"/>
      <c r="D32" s="1777"/>
      <c r="E32" s="1777"/>
      <c r="F32" s="275"/>
      <c r="G32" s="257" t="s">
        <v>171</v>
      </c>
      <c r="H32" s="321">
        <v>39.921999999999997</v>
      </c>
      <c r="I32" s="322">
        <f>H32+H32*'Løntabel gældende fra'!$D$7%</f>
        <v>43.311816942</v>
      </c>
      <c r="J32" s="249"/>
    </row>
    <row r="33" spans="1:10" ht="26" customHeight="1">
      <c r="A33" s="1768" t="s">
        <v>181</v>
      </c>
      <c r="B33" s="1769"/>
      <c r="C33" s="1769"/>
      <c r="D33" s="1769"/>
      <c r="E33" s="1769"/>
      <c r="F33" s="1769"/>
      <c r="G33" s="257" t="s">
        <v>171</v>
      </c>
      <c r="H33" s="321">
        <v>39.92</v>
      </c>
      <c r="I33" s="322">
        <f>H33+H33*'Løntabel gældende fra'!$D$7%</f>
        <v>43.309647120000001</v>
      </c>
      <c r="J33" s="249"/>
    </row>
    <row r="34" spans="1:10" ht="15" customHeight="1" thickBot="1">
      <c r="A34" s="288" t="s">
        <v>170</v>
      </c>
      <c r="B34" s="287"/>
      <c r="C34" s="287"/>
      <c r="D34" s="287"/>
      <c r="E34" s="271"/>
      <c r="F34" s="271"/>
      <c r="G34" s="282" t="s">
        <v>171</v>
      </c>
      <c r="H34" s="323">
        <v>39.921999999999997</v>
      </c>
      <c r="I34" s="324">
        <f>H34+H34*'Løntabel gældende fra'!$D$7%</f>
        <v>43.311816942</v>
      </c>
      <c r="J34" s="249"/>
    </row>
    <row r="35" spans="1:10" ht="15" customHeight="1">
      <c r="A35" s="281"/>
      <c r="B35" s="281"/>
      <c r="C35" s="281"/>
      <c r="D35" s="281"/>
      <c r="E35" s="281"/>
      <c r="F35" s="281"/>
      <c r="G35" s="281"/>
      <c r="H35" s="240"/>
      <c r="I35" s="280"/>
      <c r="J35" s="249"/>
    </row>
    <row r="36" spans="1:10" ht="15" customHeight="1" thickBot="1">
      <c r="A36" s="281"/>
      <c r="B36" s="281"/>
      <c r="C36" s="281"/>
      <c r="D36" s="281"/>
      <c r="E36" s="281"/>
      <c r="F36" s="281"/>
      <c r="G36" s="281"/>
      <c r="H36" s="240"/>
      <c r="I36" s="280"/>
      <c r="J36" s="249"/>
    </row>
    <row r="37" spans="1:10" ht="15" customHeight="1" thickBot="1">
      <c r="A37" s="1159" t="s">
        <v>182</v>
      </c>
      <c r="B37" s="1160"/>
      <c r="C37" s="1160"/>
      <c r="D37" s="1160"/>
      <c r="E37" s="1160"/>
      <c r="F37" s="1160"/>
      <c r="G37" s="1160"/>
      <c r="H37" s="1160"/>
      <c r="I37" s="1161"/>
      <c r="J37" s="259"/>
    </row>
    <row r="38" spans="1:10" ht="15" customHeight="1" thickBot="1">
      <c r="A38" s="1763"/>
      <c r="B38" s="1764"/>
      <c r="C38" s="1764"/>
      <c r="D38" s="1764"/>
      <c r="E38" s="1764"/>
      <c r="F38" s="1764"/>
      <c r="G38" s="1764"/>
      <c r="H38" s="478" t="s">
        <v>99</v>
      </c>
      <c r="I38" s="479" t="s">
        <v>104</v>
      </c>
      <c r="J38" s="259"/>
    </row>
    <row r="39" spans="1:10" ht="15" customHeight="1" thickBot="1">
      <c r="A39" s="1765"/>
      <c r="B39" s="1766"/>
      <c r="C39" s="1766"/>
      <c r="D39" s="1766"/>
      <c r="E39" s="1766"/>
      <c r="F39" s="1766"/>
      <c r="G39" s="1767"/>
      <c r="H39" s="480">
        <v>40999</v>
      </c>
      <c r="I39" s="481" t="str">
        <f>'Løntabel gældende fra'!$D$1</f>
        <v>01/04/2019</v>
      </c>
      <c r="J39" s="259"/>
    </row>
    <row r="40" spans="1:10" ht="15" customHeight="1" thickBot="1">
      <c r="A40" s="1761" t="s">
        <v>183</v>
      </c>
      <c r="B40" s="1762"/>
      <c r="C40" s="1762"/>
      <c r="D40" s="1762"/>
      <c r="E40" s="1762"/>
      <c r="F40" s="255"/>
      <c r="G40" s="266" t="s">
        <v>171</v>
      </c>
      <c r="H40" s="325">
        <v>6.88</v>
      </c>
      <c r="I40" s="318">
        <f>H40+H40*'Løntabel gældende fra'!$D$7%</f>
        <v>7.4641876800000002</v>
      </c>
      <c r="J40" s="259"/>
    </row>
    <row r="41" spans="1:10" ht="15" customHeight="1">
      <c r="A41" s="249"/>
      <c r="B41" s="249"/>
      <c r="C41" s="249"/>
      <c r="D41" s="249"/>
      <c r="E41" s="249"/>
      <c r="F41" s="250"/>
      <c r="G41" s="249"/>
      <c r="H41" s="250"/>
      <c r="I41" s="249"/>
      <c r="J41" s="259"/>
    </row>
    <row r="42" spans="1:10" ht="15" customHeight="1" thickBot="1">
      <c r="A42" s="249"/>
      <c r="B42" s="249"/>
      <c r="C42" s="249"/>
      <c r="D42" s="249"/>
      <c r="E42" s="249"/>
      <c r="F42" s="250"/>
      <c r="G42" s="249"/>
      <c r="H42" s="250"/>
      <c r="I42" s="249"/>
      <c r="J42" s="259"/>
    </row>
    <row r="43" spans="1:10" ht="15" customHeight="1" thickBot="1">
      <c r="A43" s="1159" t="s">
        <v>184</v>
      </c>
      <c r="B43" s="1160"/>
      <c r="C43" s="1160"/>
      <c r="D43" s="1160"/>
      <c r="E43" s="1160"/>
      <c r="F43" s="1160"/>
      <c r="G43" s="1160"/>
      <c r="H43" s="1160"/>
      <c r="I43" s="1161"/>
      <c r="J43" s="259"/>
    </row>
    <row r="44" spans="1:10" ht="15" customHeight="1">
      <c r="A44" s="1770"/>
      <c r="B44" s="1771"/>
      <c r="C44" s="1771"/>
      <c r="D44" s="1771"/>
      <c r="E44" s="1771"/>
      <c r="F44" s="1771"/>
      <c r="G44" s="1772"/>
      <c r="H44" s="478" t="s">
        <v>99</v>
      </c>
      <c r="I44" s="479" t="s">
        <v>104</v>
      </c>
      <c r="J44" s="259"/>
    </row>
    <row r="45" spans="1:10" ht="15" customHeight="1" thickBot="1">
      <c r="A45" s="1773"/>
      <c r="B45" s="1774"/>
      <c r="C45" s="1774"/>
      <c r="D45" s="1774"/>
      <c r="E45" s="1774"/>
      <c r="F45" s="1774"/>
      <c r="G45" s="1775"/>
      <c r="H45" s="480">
        <v>40999</v>
      </c>
      <c r="I45" s="481" t="str">
        <f>'Løntabel gældende fra'!$D$1</f>
        <v>01/04/2019</v>
      </c>
      <c r="J45" s="259"/>
    </row>
    <row r="46" spans="1:10" ht="15" customHeight="1" thickBot="1">
      <c r="A46" s="1761" t="s">
        <v>197</v>
      </c>
      <c r="B46" s="1762"/>
      <c r="C46" s="1762"/>
      <c r="D46" s="1762"/>
      <c r="E46" s="1762"/>
      <c r="F46" s="255"/>
      <c r="G46" s="266"/>
      <c r="H46" s="325">
        <v>655</v>
      </c>
      <c r="I46" s="318">
        <f>H46+H46*'Løntabel gældende fra'!$D$7%</f>
        <v>710.61670500000002</v>
      </c>
      <c r="J46" s="259"/>
    </row>
    <row r="47" spans="1:10" ht="15" customHeight="1">
      <c r="A47" s="249"/>
      <c r="B47" s="249"/>
      <c r="C47" s="249"/>
      <c r="D47" s="249"/>
      <c r="E47" s="249"/>
      <c r="F47" s="250"/>
      <c r="G47" s="249"/>
      <c r="H47" s="250"/>
      <c r="I47" s="249"/>
      <c r="J47" s="259"/>
    </row>
    <row r="48" spans="1:10" ht="15" customHeight="1" thickBot="1">
      <c r="A48" s="249"/>
      <c r="B48" s="249"/>
      <c r="C48" s="249"/>
      <c r="D48" s="249"/>
      <c r="E48" s="249"/>
      <c r="F48" s="250"/>
      <c r="G48" s="249"/>
      <c r="H48" s="250"/>
      <c r="I48" s="249"/>
      <c r="J48" s="259"/>
    </row>
    <row r="49" spans="1:10" ht="15" customHeight="1" thickBot="1">
      <c r="A49" s="1159" t="s">
        <v>185</v>
      </c>
      <c r="B49" s="1160"/>
      <c r="C49" s="1160"/>
      <c r="D49" s="1160"/>
      <c r="E49" s="1160"/>
      <c r="F49" s="1160"/>
      <c r="G49" s="1160"/>
      <c r="H49" s="1160"/>
      <c r="I49" s="1161"/>
      <c r="J49" s="259"/>
    </row>
    <row r="50" spans="1:10" ht="15" customHeight="1">
      <c r="A50" s="1755" t="s">
        <v>187</v>
      </c>
      <c r="B50" s="1756"/>
      <c r="C50" s="1756"/>
      <c r="D50" s="1756"/>
      <c r="E50" s="1756"/>
      <c r="F50" s="1756"/>
      <c r="G50" s="1757"/>
      <c r="H50" s="478" t="s">
        <v>99</v>
      </c>
      <c r="I50" s="479" t="s">
        <v>104</v>
      </c>
      <c r="J50" s="259"/>
    </row>
    <row r="51" spans="1:10" ht="15" customHeight="1" thickBot="1">
      <c r="A51" s="1758"/>
      <c r="B51" s="1759"/>
      <c r="C51" s="1759"/>
      <c r="D51" s="1759"/>
      <c r="E51" s="1759"/>
      <c r="F51" s="1759"/>
      <c r="G51" s="1760"/>
      <c r="H51" s="480">
        <v>40999</v>
      </c>
      <c r="I51" s="481" t="str">
        <f>'Løntabel gældende fra'!$D$1</f>
        <v>01/04/2019</v>
      </c>
      <c r="J51" s="259"/>
    </row>
    <row r="52" spans="1:10" ht="15" customHeight="1" thickBot="1">
      <c r="A52" s="1761" t="s">
        <v>186</v>
      </c>
      <c r="B52" s="1762"/>
      <c r="C52" s="1762"/>
      <c r="D52" s="1762"/>
      <c r="E52" s="1762"/>
      <c r="F52" s="255"/>
      <c r="G52" s="266"/>
      <c r="H52" s="325">
        <v>0</v>
      </c>
      <c r="I52" s="318">
        <f>H52+H52*'Løntabel gældende fra'!$D$7%</f>
        <v>0</v>
      </c>
      <c r="J52" s="259"/>
    </row>
    <row r="53" spans="1:10" ht="15" customHeight="1">
      <c r="A53" s="249"/>
      <c r="B53" s="249"/>
      <c r="C53" s="249"/>
      <c r="D53" s="249"/>
      <c r="E53" s="249"/>
      <c r="F53" s="250"/>
      <c r="G53" s="249"/>
      <c r="H53" s="250"/>
      <c r="I53" s="249"/>
      <c r="J53" s="259"/>
    </row>
    <row r="54" spans="1:10" ht="15" customHeight="1" thickBot="1">
      <c r="A54" s="249"/>
      <c r="B54" s="249"/>
      <c r="C54" s="249"/>
      <c r="D54" s="249"/>
      <c r="E54" s="249"/>
      <c r="F54" s="250"/>
      <c r="G54" s="249"/>
      <c r="H54" s="250"/>
      <c r="I54" s="249"/>
      <c r="J54" s="259"/>
    </row>
    <row r="55" spans="1:10" s="259" customFormat="1" ht="19" thickBot="1">
      <c r="A55" s="1159" t="s">
        <v>190</v>
      </c>
      <c r="B55" s="1160"/>
      <c r="C55" s="1160"/>
      <c r="D55" s="1160"/>
      <c r="E55" s="1160"/>
      <c r="F55" s="1160"/>
      <c r="G55" s="1160"/>
      <c r="H55" s="1160"/>
      <c r="I55" s="1161"/>
    </row>
    <row r="56" spans="1:10" s="259" customFormat="1" ht="14">
      <c r="A56" s="1755"/>
      <c r="B56" s="1756"/>
      <c r="C56" s="1756"/>
      <c r="D56" s="1756"/>
      <c r="E56" s="1756"/>
      <c r="F56" s="1756"/>
      <c r="G56" s="1757"/>
      <c r="H56" s="478" t="s">
        <v>99</v>
      </c>
      <c r="I56" s="479" t="s">
        <v>104</v>
      </c>
    </row>
    <row r="57" spans="1:10" s="259" customFormat="1" ht="15" thickBot="1">
      <c r="A57" s="1758"/>
      <c r="B57" s="1759"/>
      <c r="C57" s="1759"/>
      <c r="D57" s="1759"/>
      <c r="E57" s="1759"/>
      <c r="F57" s="1759"/>
      <c r="G57" s="1760"/>
      <c r="H57" s="480">
        <v>40999</v>
      </c>
      <c r="I57" s="481" t="str">
        <f>'Løntabel gældende fra'!$D$1</f>
        <v>01/04/2019</v>
      </c>
    </row>
    <row r="58" spans="1:10" s="259" customFormat="1" ht="15" thickBot="1">
      <c r="A58" s="1761" t="s">
        <v>190</v>
      </c>
      <c r="B58" s="1762"/>
      <c r="C58" s="1762"/>
      <c r="D58" s="1762"/>
      <c r="E58" s="1762"/>
      <c r="F58" s="255"/>
      <c r="G58" s="266"/>
      <c r="H58" s="325">
        <v>10500</v>
      </c>
      <c r="I58" s="326">
        <f>H58+H58*'Løntabel gældende fra'!$D$7%</f>
        <v>11391.565500000001</v>
      </c>
    </row>
    <row r="59" spans="1:10" s="286" customFormat="1" ht="14">
      <c r="A59" s="283"/>
      <c r="B59" s="283"/>
      <c r="C59" s="283"/>
      <c r="D59" s="283"/>
      <c r="E59" s="283"/>
      <c r="F59" s="270"/>
      <c r="G59" s="270"/>
      <c r="H59" s="284"/>
      <c r="I59" s="285"/>
    </row>
  </sheetData>
  <sheetProtection algorithmName="SHA-512" hashValue="AyjNfP6ulIQbGOSduTfLM0yMPMukmW2G0CCnfh4iT/w0yWlbiZPRzKY3RB9aVwVORfD1aacLTuhCywMCzN+q+g==" saltValue="ujB9Ub6xuuAd7dBIwZVd5w==" spinCount="100000" sheet="1" objects="1" scenarios="1"/>
  <mergeCells count="29">
    <mergeCell ref="A29:G30"/>
    <mergeCell ref="A31:E31"/>
    <mergeCell ref="A32:E32"/>
    <mergeCell ref="A1:J1"/>
    <mergeCell ref="A2:J2"/>
    <mergeCell ref="A3:J3"/>
    <mergeCell ref="G8:J8"/>
    <mergeCell ref="A8:F8"/>
    <mergeCell ref="A4:I4"/>
    <mergeCell ref="A5:I5"/>
    <mergeCell ref="A15:F15"/>
    <mergeCell ref="A21:F21"/>
    <mergeCell ref="A22:D23"/>
    <mergeCell ref="A25:C25"/>
    <mergeCell ref="A28:I28"/>
    <mergeCell ref="A24:C24"/>
    <mergeCell ref="A33:F33"/>
    <mergeCell ref="A43:I43"/>
    <mergeCell ref="A44:G45"/>
    <mergeCell ref="A49:I49"/>
    <mergeCell ref="A50:G51"/>
    <mergeCell ref="A56:G57"/>
    <mergeCell ref="A58:E58"/>
    <mergeCell ref="A46:E46"/>
    <mergeCell ref="A52:E52"/>
    <mergeCell ref="A37:I37"/>
    <mergeCell ref="A38:G39"/>
    <mergeCell ref="A40:E40"/>
    <mergeCell ref="A55:I55"/>
  </mergeCells>
  <phoneticPr fontId="6" type="noConversion"/>
  <pageMargins left="0.59055118110236227" right="0.59055118110236227" top="0.74803149606299213" bottom="0.74803149606299213" header="0.31496062992125984" footer="0.31496062992125984"/>
  <pageSetup paperSize="9" scale="86" fitToHeight="3" orientation="portrait" r:id="rId1"/>
  <headerFooter>
    <oddFooter>&amp;C&amp;"Calibri,Normal"&amp;8&amp;K000000Løntabel 3F&amp;R&amp;"Calibri,Normal"&amp;8&amp;K000000&amp;Paf i alt &amp;N</oddFooter>
  </headerFooter>
  <rowBreaks count="1" manualBreakCount="1">
    <brk id="42"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45"/>
  <sheetViews>
    <sheetView zoomScale="125" zoomScaleNormal="125" zoomScalePageLayoutView="125" workbookViewId="0">
      <selection activeCell="H12" sqref="H12"/>
    </sheetView>
  </sheetViews>
  <sheetFormatPr baseColWidth="10" defaultColWidth="8.83203125" defaultRowHeight="13"/>
  <cols>
    <col min="1" max="1" width="13.33203125" style="229" customWidth="1"/>
    <col min="2" max="2" width="15" style="229" customWidth="1"/>
    <col min="3" max="3" width="16.33203125" style="229" customWidth="1"/>
    <col min="4" max="4" width="16.1640625" style="230" customWidth="1"/>
    <col min="5" max="5" width="17.33203125" style="229" customWidth="1"/>
    <col min="6" max="6" width="13.6640625" style="231" customWidth="1"/>
    <col min="7" max="7" width="0.33203125" style="231" customWidth="1"/>
    <col min="8" max="8" width="10.6640625" style="229" customWidth="1"/>
    <col min="9" max="16384" width="8.83203125" style="229"/>
  </cols>
  <sheetData>
    <row r="1" spans="1:9" s="2" customFormat="1" ht="22" customHeight="1">
      <c r="A1" s="1250" t="s">
        <v>19</v>
      </c>
      <c r="B1" s="1251"/>
      <c r="C1" s="1251"/>
      <c r="D1" s="1251"/>
      <c r="E1" s="1251"/>
      <c r="F1" s="1251"/>
      <c r="G1" s="1252"/>
      <c r="H1" s="441"/>
      <c r="I1" s="42"/>
    </row>
    <row r="2" spans="1:9" s="2" customFormat="1" ht="76" customHeight="1">
      <c r="A2" s="1778" t="s">
        <v>151</v>
      </c>
      <c r="B2" s="1779"/>
      <c r="C2" s="1779"/>
      <c r="D2" s="1779"/>
      <c r="E2" s="1779"/>
      <c r="F2" s="1779"/>
      <c r="G2" s="1780"/>
      <c r="H2" s="440"/>
    </row>
    <row r="3" spans="1:9" s="2" customFormat="1" ht="28" customHeight="1" thickBot="1">
      <c r="A3" s="1364" t="s">
        <v>231</v>
      </c>
      <c r="B3" s="1365"/>
      <c r="C3" s="1365"/>
      <c r="D3" s="1365"/>
      <c r="E3" s="1365"/>
      <c r="F3" s="1365"/>
      <c r="G3" s="1366"/>
      <c r="H3" s="441"/>
    </row>
    <row r="4" spans="1:9" ht="12" customHeight="1" thickBot="1">
      <c r="A4" s="1794"/>
      <c r="B4" s="1794"/>
      <c r="C4" s="1794"/>
      <c r="D4" s="1794"/>
      <c r="E4" s="1794"/>
      <c r="F4" s="1794"/>
      <c r="G4" s="1794"/>
    </row>
    <row r="5" spans="1:9" ht="19" thickBot="1">
      <c r="A5" s="500" t="s">
        <v>154</v>
      </c>
      <c r="B5" s="501"/>
      <c r="C5" s="501"/>
      <c r="D5" s="501"/>
      <c r="E5" s="501"/>
      <c r="F5" s="442"/>
      <c r="G5" s="502"/>
    </row>
    <row r="6" spans="1:9" ht="30" customHeight="1">
      <c r="A6" s="1166" t="s">
        <v>141</v>
      </c>
      <c r="B6" s="1166" t="s">
        <v>95</v>
      </c>
      <c r="C6" s="445" t="s">
        <v>101</v>
      </c>
      <c r="D6" s="446" t="s">
        <v>101</v>
      </c>
      <c r="E6" s="446" t="s">
        <v>102</v>
      </c>
      <c r="F6" s="383" t="s">
        <v>142</v>
      </c>
    </row>
    <row r="7" spans="1:9" ht="15" customHeight="1" thickBot="1">
      <c r="A7" s="1182"/>
      <c r="B7" s="1182"/>
      <c r="C7" s="380">
        <v>40999</v>
      </c>
      <c r="D7" s="354">
        <f>'Løntabel gældende fra'!C7</f>
        <v>43556</v>
      </c>
      <c r="E7" s="354">
        <f>'Løntabel gældende fra'!C7</f>
        <v>43556</v>
      </c>
      <c r="F7" s="437" t="s">
        <v>143</v>
      </c>
    </row>
    <row r="8" spans="1:9" ht="16" customHeight="1">
      <c r="A8" s="98">
        <v>1</v>
      </c>
      <c r="B8" s="98" t="s">
        <v>144</v>
      </c>
      <c r="C8" s="403">
        <f>12*22670</f>
        <v>272040</v>
      </c>
      <c r="D8" s="237">
        <f>C8+(C8*'Løntabel gældende fra'!$D$7%)</f>
        <v>295139.18844</v>
      </c>
      <c r="E8" s="399">
        <f>D8/12</f>
        <v>24594.932369999999</v>
      </c>
      <c r="F8" s="492">
        <f>(E8*12)/1672*1</f>
        <v>176.51865337320575</v>
      </c>
    </row>
    <row r="9" spans="1:9" ht="16" customHeight="1">
      <c r="A9" s="99">
        <v>2</v>
      </c>
      <c r="B9" s="99" t="s">
        <v>152</v>
      </c>
      <c r="C9" s="398">
        <f>25300*12</f>
        <v>303600</v>
      </c>
      <c r="D9" s="197">
        <f>C9+(C9*'Løntabel gældende fra'!$D$7%)</f>
        <v>329378.97960000002</v>
      </c>
      <c r="E9" s="297">
        <f>D9/12</f>
        <v>27448.248300000003</v>
      </c>
      <c r="F9" s="494">
        <f>(E9*12)/1672*1</f>
        <v>196.99699736842106</v>
      </c>
    </row>
    <row r="10" spans="1:9" ht="16" customHeight="1">
      <c r="A10" s="232">
        <v>3</v>
      </c>
      <c r="B10" s="495" t="s">
        <v>145</v>
      </c>
      <c r="C10" s="496">
        <f>27920*12</f>
        <v>335040</v>
      </c>
      <c r="D10" s="197">
        <f>C10+(C10*'Løntabel gældende fra'!$D$7%)</f>
        <v>363488.58143999998</v>
      </c>
      <c r="E10" s="297">
        <f>D10/12</f>
        <v>30290.715119999997</v>
      </c>
      <c r="F10" s="494">
        <f>(E10*12)/1672*1</f>
        <v>217.39747693779904</v>
      </c>
    </row>
    <row r="11" spans="1:9" ht="16" customHeight="1" thickBot="1">
      <c r="A11" s="233">
        <v>4</v>
      </c>
      <c r="B11" s="497" t="s">
        <v>153</v>
      </c>
      <c r="C11" s="498">
        <f>29200*12</f>
        <v>350400</v>
      </c>
      <c r="D11" s="176">
        <f>C11+(C11*'Løntabel gældende fra'!$D$7%)</f>
        <v>380152.81439999997</v>
      </c>
      <c r="E11" s="402">
        <f>D11/12</f>
        <v>31679.401199999997</v>
      </c>
      <c r="F11" s="493">
        <f>(E11*12)/1672*1</f>
        <v>227.36412344497606</v>
      </c>
    </row>
    <row r="12" spans="1:9" ht="11" customHeight="1" thickBot="1"/>
    <row r="13" spans="1:9" ht="19" thickBot="1">
      <c r="A13" s="1172" t="s">
        <v>155</v>
      </c>
      <c r="B13" s="1173"/>
      <c r="C13" s="1173"/>
      <c r="D13" s="1173"/>
      <c r="E13" s="1229"/>
      <c r="F13" s="223"/>
    </row>
    <row r="14" spans="1:9" ht="30" customHeight="1">
      <c r="A14" s="1166" t="s">
        <v>141</v>
      </c>
      <c r="B14" s="445" t="s">
        <v>101</v>
      </c>
      <c r="C14" s="446" t="s">
        <v>101</v>
      </c>
      <c r="D14" s="446" t="s">
        <v>102</v>
      </c>
      <c r="E14" s="383" t="s">
        <v>142</v>
      </c>
      <c r="F14" s="43"/>
    </row>
    <row r="15" spans="1:9" ht="17" customHeight="1" thickBot="1">
      <c r="A15" s="1182"/>
      <c r="B15" s="380">
        <v>40999</v>
      </c>
      <c r="C15" s="354">
        <f>'Løntabel gældende fra'!C7</f>
        <v>43556</v>
      </c>
      <c r="D15" s="354">
        <f>'Løntabel gældende fra'!C7</f>
        <v>43556</v>
      </c>
      <c r="E15" s="437" t="s">
        <v>143</v>
      </c>
      <c r="F15" s="43"/>
    </row>
    <row r="16" spans="1:9" ht="16" customHeight="1">
      <c r="A16" s="98" t="s">
        <v>146</v>
      </c>
      <c r="B16" s="403">
        <f>12*13140</f>
        <v>157680</v>
      </c>
      <c r="C16" s="237">
        <f>B16+(B16*'Løntabel gældende fra'!$D$7%)</f>
        <v>171068.76647999999</v>
      </c>
      <c r="D16" s="399">
        <f>C16/12</f>
        <v>14255.730539999999</v>
      </c>
      <c r="E16" s="492">
        <f>(D16*12)/1672*1</f>
        <v>102.31385555023923</v>
      </c>
      <c r="F16" s="236"/>
    </row>
    <row r="17" spans="1:8" ht="16" customHeight="1" thickBot="1">
      <c r="A17" s="100" t="s">
        <v>147</v>
      </c>
      <c r="B17" s="400">
        <f>12*13800</f>
        <v>165600</v>
      </c>
      <c r="C17" s="176">
        <f>B17+(B17*'Løntabel gældende fra'!$D$7%)</f>
        <v>179661.2616</v>
      </c>
      <c r="D17" s="402">
        <f>C17/12</f>
        <v>14971.7718</v>
      </c>
      <c r="E17" s="493">
        <f>(D17*12)/1672*1</f>
        <v>107.45290765550239</v>
      </c>
      <c r="F17" s="236"/>
    </row>
    <row r="18" spans="1:8" ht="13" customHeight="1" thickBot="1"/>
    <row r="19" spans="1:8" ht="19" thickBot="1">
      <c r="A19" s="1172" t="s">
        <v>156</v>
      </c>
      <c r="B19" s="1173"/>
      <c r="C19" s="1173"/>
      <c r="D19" s="1173"/>
      <c r="E19" s="1229"/>
    </row>
    <row r="20" spans="1:8" ht="30" customHeight="1">
      <c r="A20" s="381" t="s">
        <v>141</v>
      </c>
      <c r="B20" s="445" t="s">
        <v>101</v>
      </c>
      <c r="C20" s="446" t="s">
        <v>101</v>
      </c>
      <c r="D20" s="446" t="s">
        <v>102</v>
      </c>
      <c r="E20" s="383" t="s">
        <v>142</v>
      </c>
    </row>
    <row r="21" spans="1:8" ht="16" customHeight="1" thickBot="1">
      <c r="A21" s="384"/>
      <c r="B21" s="380">
        <v>40999</v>
      </c>
      <c r="C21" s="354">
        <f>'Løntabel gældende fra'!C7</f>
        <v>43556</v>
      </c>
      <c r="D21" s="354">
        <f>'Løntabel gældende fra'!C7</f>
        <v>43556</v>
      </c>
      <c r="E21" s="437" t="s">
        <v>143</v>
      </c>
    </row>
    <row r="22" spans="1:8" ht="16" customHeight="1" thickBot="1">
      <c r="A22" s="234" t="s">
        <v>146</v>
      </c>
      <c r="B22" s="404">
        <f>12*18700</f>
        <v>224400</v>
      </c>
      <c r="C22" s="238">
        <f>B22+(B22*'Løntabel gældende fra'!$D$7%)</f>
        <v>243454.02840000001</v>
      </c>
      <c r="D22" s="239">
        <f>C22/12</f>
        <v>20287.8357</v>
      </c>
      <c r="E22" s="499">
        <f>(D22*12)/1672*1</f>
        <v>145.60647631578948</v>
      </c>
      <c r="F22" s="230"/>
      <c r="G22" s="230"/>
    </row>
    <row r="23" spans="1:8" s="438" customFormat="1" ht="12" customHeight="1" thickBot="1">
      <c r="A23" s="43"/>
      <c r="B23" s="284"/>
      <c r="C23" s="284"/>
      <c r="D23" s="284"/>
      <c r="E23" s="235"/>
      <c r="F23" s="439"/>
      <c r="G23" s="439"/>
    </row>
    <row r="24" spans="1:8" ht="19" thickBot="1">
      <c r="A24" s="1172" t="s">
        <v>158</v>
      </c>
      <c r="B24" s="1173"/>
      <c r="C24" s="1173"/>
      <c r="D24" s="1173"/>
      <c r="E24" s="1229"/>
      <c r="F24" s="223"/>
      <c r="G24" s="223"/>
      <c r="H24" s="223"/>
    </row>
    <row r="25" spans="1:8" ht="31" customHeight="1" thickBot="1">
      <c r="A25" s="1137" t="s">
        <v>141</v>
      </c>
      <c r="B25" s="1166" t="s">
        <v>20</v>
      </c>
      <c r="C25" s="447" t="s">
        <v>241</v>
      </c>
      <c r="D25" s="448">
        <v>0.17299999999999999</v>
      </c>
      <c r="E25" s="455"/>
      <c r="F25" s="449"/>
      <c r="G25" s="452"/>
      <c r="H25" s="453"/>
    </row>
    <row r="26" spans="1:8" ht="45" customHeight="1" thickBot="1">
      <c r="A26" s="1319"/>
      <c r="B26" s="1182"/>
      <c r="C26" s="222" t="s">
        <v>21</v>
      </c>
      <c r="D26" s="451" t="s">
        <v>242</v>
      </c>
      <c r="E26" s="446" t="s">
        <v>22</v>
      </c>
      <c r="F26" s="1798"/>
      <c r="G26" s="1798"/>
      <c r="H26" s="454"/>
    </row>
    <row r="27" spans="1:8" ht="16" customHeight="1">
      <c r="A27" s="391">
        <v>1</v>
      </c>
      <c r="B27" s="175">
        <f>E8</f>
        <v>24594.932369999999</v>
      </c>
      <c r="C27" s="175">
        <f>E27*1/3</f>
        <v>1418.3077666699999</v>
      </c>
      <c r="D27" s="379">
        <f>E27*2/3</f>
        <v>2836.6155333399997</v>
      </c>
      <c r="E27" s="175">
        <f>B27*$D$25</f>
        <v>4254.9233000099994</v>
      </c>
      <c r="F27" s="449"/>
      <c r="G27" s="450"/>
      <c r="H27" s="276"/>
    </row>
    <row r="28" spans="1:8" ht="16" customHeight="1">
      <c r="A28" s="456">
        <v>2</v>
      </c>
      <c r="B28" s="197">
        <f>E9</f>
        <v>27448.248300000003</v>
      </c>
      <c r="C28" s="197">
        <f>E28*1/3</f>
        <v>1582.8489853000001</v>
      </c>
      <c r="D28" s="388">
        <f>E28*2/3</f>
        <v>3165.6979706000002</v>
      </c>
      <c r="E28" s="197">
        <f>B28*$D$25</f>
        <v>4748.5469559000003</v>
      </c>
      <c r="F28" s="449"/>
      <c r="G28" s="450"/>
      <c r="H28" s="276"/>
    </row>
    <row r="29" spans="1:8" ht="16" customHeight="1">
      <c r="A29" s="456">
        <v>3</v>
      </c>
      <c r="B29" s="197">
        <f>E10</f>
        <v>30290.715119999997</v>
      </c>
      <c r="C29" s="197">
        <f>E29*1/3</f>
        <v>1746.7645719199998</v>
      </c>
      <c r="D29" s="388">
        <f>E29*2/3</f>
        <v>3493.5291438399995</v>
      </c>
      <c r="E29" s="197">
        <f>B29*$D$25</f>
        <v>5240.293715759999</v>
      </c>
      <c r="F29" s="449"/>
      <c r="G29" s="450"/>
      <c r="H29" s="276"/>
    </row>
    <row r="30" spans="1:8" ht="16" customHeight="1" thickBot="1">
      <c r="A30" s="393">
        <v>4</v>
      </c>
      <c r="B30" s="176">
        <f>E11</f>
        <v>31679.401199999997</v>
      </c>
      <c r="C30" s="176">
        <f>E30*1/3</f>
        <v>1826.8454691999996</v>
      </c>
      <c r="D30" s="386">
        <f>E30*2/3</f>
        <v>3653.6909383999991</v>
      </c>
      <c r="E30" s="176">
        <f>B30*$D$25</f>
        <v>5480.5364075999987</v>
      </c>
      <c r="F30" s="449"/>
      <c r="G30" s="450"/>
      <c r="H30" s="276"/>
    </row>
    <row r="31" spans="1:8" ht="12" customHeight="1" thickBot="1">
      <c r="A31" s="43"/>
      <c r="B31" s="240"/>
      <c r="C31" s="240"/>
      <c r="D31" s="240"/>
      <c r="E31" s="235"/>
      <c r="F31" s="230"/>
      <c r="G31" s="230"/>
    </row>
    <row r="32" spans="1:8" ht="26.25" customHeight="1" thickBot="1">
      <c r="A32" s="1799" t="s">
        <v>159</v>
      </c>
      <c r="B32" s="1800"/>
      <c r="C32" s="1800"/>
      <c r="D32" s="1800"/>
      <c r="E32" s="1801"/>
      <c r="F32" s="116" t="s">
        <v>93</v>
      </c>
      <c r="G32" s="230"/>
    </row>
    <row r="33" spans="1:8" ht="29" customHeight="1" thickBot="1">
      <c r="A33" s="1156" t="s">
        <v>157</v>
      </c>
      <c r="B33" s="1157"/>
      <c r="C33" s="1157"/>
      <c r="D33" s="1157"/>
      <c r="E33" s="1793"/>
      <c r="F33" s="491">
        <v>160</v>
      </c>
      <c r="G33" s="230"/>
    </row>
    <row r="34" spans="1:8" ht="4.5" customHeight="1">
      <c r="A34" s="443"/>
      <c r="B34" s="443"/>
      <c r="C34" s="443"/>
      <c r="D34" s="443"/>
      <c r="E34" s="443"/>
      <c r="F34" s="444"/>
      <c r="G34" s="230"/>
    </row>
    <row r="35" spans="1:8" s="259" customFormat="1" ht="28" customHeight="1">
      <c r="A35" s="1795" t="s">
        <v>148</v>
      </c>
      <c r="B35" s="1795"/>
      <c r="C35" s="1795"/>
      <c r="D35" s="1795"/>
      <c r="E35" s="1795"/>
      <c r="F35" s="1795"/>
      <c r="G35" s="1795"/>
    </row>
    <row r="36" spans="1:8" s="259" customFormat="1" ht="30" customHeight="1">
      <c r="A36" s="1796" t="s">
        <v>149</v>
      </c>
      <c r="B36" s="1796"/>
      <c r="C36" s="1796"/>
      <c r="D36" s="1796"/>
      <c r="E36" s="1796"/>
      <c r="F36" s="1796"/>
      <c r="G36" s="1796"/>
      <c r="H36" s="457"/>
    </row>
    <row r="37" spans="1:8" s="259" customFormat="1" ht="32.25" customHeight="1">
      <c r="A37" s="1797" t="s">
        <v>150</v>
      </c>
      <c r="B37" s="1797"/>
      <c r="C37" s="1797"/>
      <c r="D37" s="1797"/>
      <c r="E37" s="1797"/>
      <c r="F37" s="1797"/>
      <c r="G37" s="1797"/>
    </row>
    <row r="38" spans="1:8" s="242" customFormat="1">
      <c r="A38" s="241"/>
      <c r="B38" s="241"/>
      <c r="D38" s="243"/>
      <c r="F38" s="244"/>
      <c r="G38" s="244"/>
    </row>
    <row r="39" spans="1:8" s="242" customFormat="1">
      <c r="A39" s="245"/>
      <c r="B39" s="245"/>
      <c r="D39" s="243"/>
      <c r="F39" s="244"/>
      <c r="G39" s="244"/>
    </row>
    <row r="40" spans="1:8" s="242" customFormat="1">
      <c r="A40" s="245"/>
      <c r="B40" s="245"/>
      <c r="C40" s="246"/>
      <c r="D40" s="243"/>
      <c r="F40" s="244"/>
      <c r="G40" s="244"/>
    </row>
    <row r="41" spans="1:8" s="242" customFormat="1">
      <c r="C41" s="247"/>
      <c r="D41" s="243"/>
      <c r="F41" s="244"/>
      <c r="G41" s="244"/>
    </row>
    <row r="42" spans="1:8" s="242" customFormat="1">
      <c r="C42" s="247"/>
      <c r="D42" s="243"/>
      <c r="F42" s="244"/>
      <c r="G42" s="244"/>
    </row>
    <row r="43" spans="1:8" s="242" customFormat="1">
      <c r="C43" s="247"/>
      <c r="D43" s="243"/>
      <c r="F43" s="244"/>
      <c r="G43" s="244"/>
    </row>
    <row r="44" spans="1:8" s="242" customFormat="1">
      <c r="C44" s="248"/>
      <c r="D44" s="243"/>
      <c r="F44" s="244"/>
      <c r="G44" s="244"/>
    </row>
    <row r="45" spans="1:8" s="242" customFormat="1">
      <c r="D45" s="243"/>
      <c r="F45" s="244"/>
      <c r="G45" s="244"/>
    </row>
  </sheetData>
  <sheetProtection password="CA9C" sheet="1" objects="1" scenarios="1"/>
  <mergeCells count="18">
    <mergeCell ref="A35:G35"/>
    <mergeCell ref="A36:G36"/>
    <mergeCell ref="A37:G37"/>
    <mergeCell ref="F26:G26"/>
    <mergeCell ref="B6:B7"/>
    <mergeCell ref="A32:E32"/>
    <mergeCell ref="A1:G1"/>
    <mergeCell ref="A2:G2"/>
    <mergeCell ref="A3:G3"/>
    <mergeCell ref="A33:E33"/>
    <mergeCell ref="B25:B26"/>
    <mergeCell ref="A24:E24"/>
    <mergeCell ref="A13:E13"/>
    <mergeCell ref="A19:E19"/>
    <mergeCell ref="A6:A7"/>
    <mergeCell ref="A14:A15"/>
    <mergeCell ref="A4:G4"/>
    <mergeCell ref="A25:A26"/>
  </mergeCells>
  <phoneticPr fontId="6" type="noConversion"/>
  <pageMargins left="0.51" right="0.12000000000000001" top="0" bottom="0" header="0" footer="0"/>
  <pageSetup paperSize="9" orientation="portrait" horizontalDpi="300" verticalDpi="300" r:id="rId1"/>
  <headerFooter>
    <oddFooter>&amp;C&amp;"Calibri,Normal"&amp;8&amp;K000000Løntabel Lilleskolerne og HK Privat&amp;R&amp;"Calibri,Normal"&amp;8&amp;K000000&amp;P af i alt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58"/>
  <sheetViews>
    <sheetView view="pageBreakPreview" zoomScaleNormal="125" zoomScaleSheetLayoutView="100" zoomScalePageLayoutView="125" workbookViewId="0">
      <selection activeCell="G9" sqref="G9"/>
    </sheetView>
  </sheetViews>
  <sheetFormatPr baseColWidth="10" defaultColWidth="8.83203125" defaultRowHeight="13"/>
  <cols>
    <col min="1" max="1" width="9" style="229" customWidth="1"/>
    <col min="2" max="2" width="11.6640625" style="229" customWidth="1"/>
    <col min="3" max="3" width="11.1640625" style="229" customWidth="1"/>
    <col min="4" max="4" width="11.33203125" style="229" customWidth="1"/>
    <col min="5" max="6" width="10.6640625" style="229" customWidth="1"/>
    <col min="7" max="7" width="11.33203125" style="229" customWidth="1"/>
    <col min="8" max="8" width="11.1640625" style="229" customWidth="1"/>
    <col min="9" max="9" width="11.33203125" style="229" customWidth="1"/>
    <col min="10" max="10" width="10.5" style="229" customWidth="1"/>
    <col min="11" max="16384" width="8.83203125" style="229"/>
  </cols>
  <sheetData>
    <row r="1" spans="1:16" ht="20">
      <c r="A1" s="1250" t="s">
        <v>19</v>
      </c>
      <c r="B1" s="1251"/>
      <c r="C1" s="1251"/>
      <c r="D1" s="1251"/>
      <c r="E1" s="1251"/>
      <c r="F1" s="1251"/>
      <c r="G1" s="1251"/>
      <c r="H1" s="1251"/>
      <c r="I1" s="1251"/>
      <c r="J1" s="1252"/>
    </row>
    <row r="2" spans="1:16" ht="38" customHeight="1">
      <c r="A2" s="1778" t="s">
        <v>196</v>
      </c>
      <c r="B2" s="1779"/>
      <c r="C2" s="1779"/>
      <c r="D2" s="1779"/>
      <c r="E2" s="1779"/>
      <c r="F2" s="1779"/>
      <c r="G2" s="1779"/>
      <c r="H2" s="1779"/>
      <c r="I2" s="1779"/>
      <c r="J2" s="1780"/>
    </row>
    <row r="3" spans="1:16" ht="20">
      <c r="A3" s="1263" t="str">
        <f>'Forside 1'!A6:I6</f>
        <v>Gældende fra 1. april 2019</v>
      </c>
      <c r="B3" s="1264"/>
      <c r="C3" s="1264"/>
      <c r="D3" s="1264"/>
      <c r="E3" s="1264"/>
      <c r="F3" s="1264"/>
      <c r="G3" s="1264"/>
      <c r="H3" s="1264"/>
      <c r="I3" s="1264"/>
      <c r="J3" s="1265"/>
    </row>
    <row r="4" spans="1:16" ht="17" customHeight="1">
      <c r="A4" s="1816" t="s">
        <v>350</v>
      </c>
      <c r="B4" s="1817"/>
      <c r="C4" s="1817"/>
      <c r="D4" s="1817"/>
      <c r="E4" s="1817"/>
      <c r="F4" s="1817"/>
      <c r="G4" s="1817"/>
      <c r="H4" s="1817"/>
      <c r="I4" s="1817"/>
      <c r="J4" s="1818"/>
    </row>
    <row r="5" spans="1:16" ht="8" customHeight="1">
      <c r="A5" s="1816" t="s">
        <v>477</v>
      </c>
      <c r="B5" s="1817"/>
      <c r="C5" s="1817"/>
      <c r="D5" s="1817"/>
      <c r="E5" s="1817"/>
      <c r="F5" s="1817"/>
      <c r="G5" s="1817"/>
      <c r="H5" s="1817"/>
      <c r="I5" s="1817"/>
      <c r="J5" s="1818"/>
      <c r="L5" s="260"/>
      <c r="M5" s="259"/>
      <c r="N5" s="259"/>
      <c r="O5" s="259"/>
      <c r="P5" s="259"/>
    </row>
    <row r="6" spans="1:16" ht="7" customHeight="1" thickBot="1">
      <c r="A6" s="1819"/>
      <c r="B6" s="1820"/>
      <c r="C6" s="1820"/>
      <c r="D6" s="1820"/>
      <c r="E6" s="1820"/>
      <c r="F6" s="1820"/>
      <c r="G6" s="1820"/>
      <c r="H6" s="1820"/>
      <c r="I6" s="1820"/>
      <c r="J6" s="1821"/>
      <c r="L6" s="260"/>
      <c r="M6" s="259"/>
      <c r="N6" s="259"/>
      <c r="O6" s="259"/>
      <c r="P6" s="259"/>
    </row>
    <row r="7" spans="1:16" s="438" customFormat="1" ht="18" customHeight="1" thickBot="1">
      <c r="A7" s="614"/>
      <c r="B7" s="614"/>
      <c r="C7" s="614"/>
      <c r="D7" s="614"/>
      <c r="E7" s="614"/>
      <c r="F7" s="614"/>
      <c r="G7" s="615"/>
      <c r="H7" s="615"/>
      <c r="I7" s="615"/>
      <c r="J7" s="615"/>
      <c r="L7" s="616"/>
      <c r="M7" s="617"/>
      <c r="N7" s="617"/>
      <c r="O7" s="617"/>
      <c r="P7" s="617"/>
    </row>
    <row r="8" spans="1:16" ht="21" customHeight="1" thickBot="1">
      <c r="A8" s="1784" t="s">
        <v>326</v>
      </c>
      <c r="B8" s="1785"/>
      <c r="C8" s="1785"/>
      <c r="D8" s="1785"/>
      <c r="E8" s="1785"/>
      <c r="F8" s="1786"/>
      <c r="G8" s="1781" t="s">
        <v>174</v>
      </c>
      <c r="H8" s="1782"/>
      <c r="I8" s="1782"/>
      <c r="J8" s="1783"/>
      <c r="L8" s="260"/>
      <c r="M8" s="259"/>
      <c r="N8" s="259"/>
      <c r="O8" s="259"/>
      <c r="P8" s="259"/>
    </row>
    <row r="9" spans="1:16" ht="28">
      <c r="A9" s="484" t="s">
        <v>57</v>
      </c>
      <c r="B9" s="484" t="s">
        <v>76</v>
      </c>
      <c r="C9" s="487" t="s">
        <v>77</v>
      </c>
      <c r="D9" s="484" t="s">
        <v>78</v>
      </c>
      <c r="E9" s="484" t="s">
        <v>79</v>
      </c>
      <c r="F9" s="484" t="s">
        <v>80</v>
      </c>
      <c r="G9" s="488" t="s">
        <v>191</v>
      </c>
      <c r="H9" s="489" t="s">
        <v>193</v>
      </c>
      <c r="I9" s="489" t="s">
        <v>194</v>
      </c>
      <c r="J9" s="490">
        <v>0.14000000000000001</v>
      </c>
    </row>
    <row r="10" spans="1:16" ht="16" customHeight="1">
      <c r="A10" s="312">
        <v>14</v>
      </c>
      <c r="B10" s="692">
        <f>'Statens skalatrin'!D46</f>
        <v>20578.169999999998</v>
      </c>
      <c r="C10" s="692">
        <f>'Statens skalatrin'!F46</f>
        <v>21006.67</v>
      </c>
      <c r="D10" s="692">
        <f>'Statens skalatrin'!H46</f>
        <v>21303.33</v>
      </c>
      <c r="E10" s="692">
        <f>'Statens skalatrin'!J46</f>
        <v>21731.75</v>
      </c>
      <c r="F10" s="692">
        <f>'Statens skalatrin'!L46</f>
        <v>22028.42</v>
      </c>
      <c r="G10" s="1802">
        <f>'Statens skalatrin'!O46</f>
        <v>19239.919999999998</v>
      </c>
      <c r="H10" s="1802">
        <f>J10*1/3</f>
        <v>897.86293333333333</v>
      </c>
      <c r="I10" s="1802">
        <f>J10*2/3</f>
        <v>1795.7258666666667</v>
      </c>
      <c r="J10" s="1802">
        <f>G10*$J$9</f>
        <v>2693.5888</v>
      </c>
    </row>
    <row r="11" spans="1:16" ht="16" customHeight="1">
      <c r="A11" s="397" t="s">
        <v>239</v>
      </c>
      <c r="B11" s="520">
        <f>B10+(F24/12)</f>
        <v>20755.100902249997</v>
      </c>
      <c r="C11" s="520">
        <f>C10+(F24/12)</f>
        <v>21183.600902249997</v>
      </c>
      <c r="D11" s="520">
        <f>D10+(F24/12)</f>
        <v>21480.26090225</v>
      </c>
      <c r="E11" s="520">
        <f>E10+(F24/12)</f>
        <v>21908.680902249998</v>
      </c>
      <c r="F11" s="520">
        <f>F10+(F24/12)</f>
        <v>22205.350902249997</v>
      </c>
      <c r="G11" s="1803"/>
      <c r="H11" s="1803"/>
      <c r="I11" s="1803"/>
      <c r="J11" s="1803"/>
    </row>
    <row r="12" spans="1:16" ht="16" customHeight="1">
      <c r="A12" s="312">
        <v>17</v>
      </c>
      <c r="B12" s="520">
        <f>'Statens skalatrin'!D55</f>
        <v>21608.25</v>
      </c>
      <c r="C12" s="520">
        <f>'Statens skalatrin'!F55</f>
        <v>22070.17</v>
      </c>
      <c r="D12" s="693">
        <f>'Statens skalatrin'!H55</f>
        <v>22389.919999999998</v>
      </c>
      <c r="E12" s="520">
        <f>'Statens skalatrin'!J55</f>
        <v>22851.75</v>
      </c>
      <c r="F12" s="520">
        <f>'Statens skalatrin'!L55</f>
        <v>23171.33</v>
      </c>
      <c r="G12" s="853">
        <f>'Statens skalatrin'!O55</f>
        <v>20294.53</v>
      </c>
      <c r="H12" s="854">
        <f>J12*1/3</f>
        <v>947.07806666666681</v>
      </c>
      <c r="I12" s="854">
        <f>J12*2/3</f>
        <v>1894.1561333333336</v>
      </c>
      <c r="J12" s="854">
        <f>G12*$J$9</f>
        <v>2841.2342000000003</v>
      </c>
    </row>
    <row r="13" spans="1:16" ht="16" customHeight="1" thickBot="1">
      <c r="A13" s="313">
        <v>21</v>
      </c>
      <c r="B13" s="521">
        <f>'Statens skalatrin'!D67</f>
        <v>22981.33</v>
      </c>
      <c r="C13" s="521">
        <f>'Statens skalatrin'!F67</f>
        <v>23492</v>
      </c>
      <c r="D13" s="694">
        <f>'Statens skalatrin'!H67</f>
        <v>23845.58</v>
      </c>
      <c r="E13" s="521">
        <f>'Statens skalatrin'!J67</f>
        <v>24356.33</v>
      </c>
      <c r="F13" s="521">
        <f>'Statens skalatrin'!L67</f>
        <v>24709.919999999998</v>
      </c>
      <c r="G13" s="852">
        <f>'Statens skalatrin'!O67</f>
        <v>21841.37</v>
      </c>
      <c r="H13" s="852">
        <f>J13*1/3</f>
        <v>1019.2639333333333</v>
      </c>
      <c r="I13" s="852">
        <f>J13*2/3</f>
        <v>2038.5278666666666</v>
      </c>
      <c r="J13" s="852">
        <f>G13*$J$9</f>
        <v>3057.7918</v>
      </c>
    </row>
    <row r="14" spans="1:16" ht="17" customHeight="1" thickBot="1">
      <c r="A14" s="259"/>
      <c r="B14" s="253"/>
      <c r="C14" s="253"/>
      <c r="D14" s="253"/>
      <c r="E14" s="253"/>
      <c r="F14" s="253"/>
      <c r="G14" s="277"/>
      <c r="H14" s="278"/>
      <c r="I14" s="279"/>
      <c r="J14" s="279"/>
    </row>
    <row r="15" spans="1:16" s="573" customFormat="1" ht="27" customHeight="1">
      <c r="A15" s="1813" t="s">
        <v>476</v>
      </c>
      <c r="B15" s="1814"/>
      <c r="C15" s="1814"/>
      <c r="D15" s="1814"/>
      <c r="E15" s="1814"/>
      <c r="F15" s="1814"/>
      <c r="G15" s="1815"/>
      <c r="H15" s="249"/>
    </row>
    <row r="16" spans="1:16" s="573" customFormat="1" ht="16" customHeight="1" thickBot="1">
      <c r="A16" s="1149" t="s">
        <v>334</v>
      </c>
      <c r="B16" s="1150"/>
      <c r="C16" s="1150"/>
      <c r="D16" s="1150"/>
      <c r="E16" s="1150"/>
      <c r="F16" s="1150"/>
      <c r="G16" s="1151"/>
      <c r="H16" s="249"/>
    </row>
    <row r="17" spans="1:10" s="249" customFormat="1" ht="16">
      <c r="A17" s="1707"/>
      <c r="B17" s="1708"/>
      <c r="C17" s="1709"/>
      <c r="D17" s="1677" t="s">
        <v>373</v>
      </c>
      <c r="E17" s="1677"/>
      <c r="F17" s="1666" t="s">
        <v>374</v>
      </c>
      <c r="G17" s="1667"/>
    </row>
    <row r="18" spans="1:10" s="249" customFormat="1" ht="13" customHeight="1" thickBot="1">
      <c r="A18" s="1710"/>
      <c r="B18" s="1711"/>
      <c r="C18" s="1712"/>
      <c r="D18" s="1705">
        <v>40999</v>
      </c>
      <c r="E18" s="1706"/>
      <c r="F18" s="1700" t="str">
        <f>'Løntabel gældende fra'!$D$1</f>
        <v>01/04/2019</v>
      </c>
      <c r="G18" s="1701"/>
    </row>
    <row r="19" spans="1:10" s="249" customFormat="1" ht="15" customHeight="1" thickBot="1">
      <c r="A19" s="1807" t="s">
        <v>168</v>
      </c>
      <c r="B19" s="1808"/>
      <c r="C19" s="1809"/>
      <c r="D19" s="1810">
        <v>148</v>
      </c>
      <c r="E19" s="1811"/>
      <c r="F19" s="1812">
        <f>+D19*(1+'Løntabel gældende fra'!$D$7/100)</f>
        <v>160.56682799999999</v>
      </c>
      <c r="G19" s="1811"/>
    </row>
    <row r="20" spans="1:10" ht="15" customHeight="1" thickBot="1">
      <c r="A20" s="268"/>
      <c r="B20" s="267"/>
      <c r="C20" s="267"/>
      <c r="D20" s="267"/>
      <c r="E20" s="267"/>
      <c r="F20" s="267"/>
      <c r="G20" s="259"/>
      <c r="H20" s="258"/>
      <c r="I20" s="258"/>
      <c r="J20" s="249"/>
    </row>
    <row r="21" spans="1:10" ht="21" customHeight="1" thickBot="1">
      <c r="A21" s="1172" t="s">
        <v>169</v>
      </c>
      <c r="B21" s="1173"/>
      <c r="C21" s="1173"/>
      <c r="D21" s="1173"/>
      <c r="E21" s="1173"/>
      <c r="F21" s="1229"/>
      <c r="G21" s="223"/>
      <c r="H21" s="223"/>
      <c r="I21" s="223"/>
      <c r="J21" s="249"/>
    </row>
    <row r="22" spans="1:10" ht="27" customHeight="1">
      <c r="A22" s="1805" t="s">
        <v>351</v>
      </c>
      <c r="B22" s="1806"/>
      <c r="C22" s="1806"/>
      <c r="D22" s="1806"/>
      <c r="E22" s="685" t="s">
        <v>133</v>
      </c>
      <c r="F22" s="686" t="s">
        <v>372</v>
      </c>
      <c r="G22" s="270"/>
      <c r="H22" s="259"/>
      <c r="I22" s="259"/>
      <c r="J22" s="249"/>
    </row>
    <row r="23" spans="1:10" ht="15" customHeight="1">
      <c r="A23" s="1758"/>
      <c r="B23" s="1759"/>
      <c r="C23" s="1759"/>
      <c r="D23" s="1759"/>
      <c r="E23" s="618">
        <v>40999</v>
      </c>
      <c r="F23" s="620" t="str">
        <f>'Løntabel gældende fra'!D1</f>
        <v>01/04/2019</v>
      </c>
      <c r="G23" s="270"/>
      <c r="H23" s="259"/>
      <c r="I23" s="259"/>
      <c r="J23" s="249"/>
    </row>
    <row r="24" spans="1:10" ht="16" customHeight="1" thickBot="1">
      <c r="A24" s="1761" t="s">
        <v>238</v>
      </c>
      <c r="B24" s="1762"/>
      <c r="C24" s="1762"/>
      <c r="D24" s="1804"/>
      <c r="E24" s="584">
        <v>1957</v>
      </c>
      <c r="F24" s="585">
        <f>E24+(E24*'Løntabel gældende fra'!$D$7%)</f>
        <v>2123.1708269999999</v>
      </c>
      <c r="G24" s="270"/>
      <c r="H24" s="259"/>
      <c r="I24" s="259"/>
      <c r="J24" s="249"/>
    </row>
    <row r="25" spans="1:10" ht="15" customHeight="1" thickBot="1">
      <c r="A25" s="268"/>
      <c r="B25" s="267"/>
      <c r="C25" s="267"/>
      <c r="D25" s="267"/>
      <c r="E25" s="267"/>
      <c r="F25" s="267"/>
      <c r="G25" s="259"/>
      <c r="H25" s="259"/>
      <c r="I25" s="259"/>
      <c r="J25" s="249"/>
    </row>
    <row r="26" spans="1:10" ht="20" customHeight="1">
      <c r="A26" s="1159" t="s">
        <v>178</v>
      </c>
      <c r="B26" s="1160"/>
      <c r="C26" s="1160"/>
      <c r="D26" s="1160"/>
      <c r="E26" s="1160"/>
      <c r="F26" s="1160"/>
      <c r="G26" s="1160"/>
      <c r="H26" s="1160"/>
      <c r="I26" s="1161"/>
      <c r="J26" s="249"/>
    </row>
    <row r="27" spans="1:10" ht="20" customHeight="1" thickBot="1">
      <c r="A27" s="1247" t="s">
        <v>334</v>
      </c>
      <c r="B27" s="1248"/>
      <c r="C27" s="1248"/>
      <c r="D27" s="1248"/>
      <c r="E27" s="1248"/>
      <c r="F27" s="1248"/>
      <c r="G27" s="1248"/>
      <c r="H27" s="1248"/>
      <c r="I27" s="1249"/>
      <c r="J27" s="249"/>
    </row>
    <row r="28" spans="1:10" ht="27" customHeight="1" thickBot="1">
      <c r="A28" s="1823"/>
      <c r="B28" s="1824"/>
      <c r="C28" s="1824"/>
      <c r="D28" s="1824"/>
      <c r="E28" s="1824"/>
      <c r="F28" s="1824"/>
      <c r="G28" s="1824"/>
      <c r="H28" s="685" t="s">
        <v>373</v>
      </c>
      <c r="I28" s="688" t="s">
        <v>374</v>
      </c>
      <c r="J28" s="249"/>
    </row>
    <row r="29" spans="1:10" ht="15" customHeight="1" thickBot="1">
      <c r="A29" s="1765"/>
      <c r="B29" s="1766"/>
      <c r="C29" s="1766"/>
      <c r="D29" s="1766"/>
      <c r="E29" s="1766"/>
      <c r="F29" s="1766"/>
      <c r="G29" s="1767"/>
      <c r="H29" s="622">
        <v>40999</v>
      </c>
      <c r="I29" s="623" t="str">
        <f>'Løntabel gældende fra'!D1</f>
        <v>01/04/2019</v>
      </c>
      <c r="J29" s="249"/>
    </row>
    <row r="30" spans="1:10" ht="15" customHeight="1">
      <c r="A30" s="1768" t="s">
        <v>179</v>
      </c>
      <c r="B30" s="1769"/>
      <c r="C30" s="1769"/>
      <c r="D30" s="1769"/>
      <c r="E30" s="1769"/>
      <c r="F30" s="254"/>
      <c r="G30" s="256" t="s">
        <v>171</v>
      </c>
      <c r="H30" s="319">
        <v>22.32</v>
      </c>
      <c r="I30" s="320">
        <f>H30+(H30*'Løntabel gældende fra'!$D$7%)</f>
        <v>24.215213519999999</v>
      </c>
      <c r="J30" s="249"/>
    </row>
    <row r="31" spans="1:10" ht="15" customHeight="1">
      <c r="A31" s="1776" t="s">
        <v>180</v>
      </c>
      <c r="B31" s="1777"/>
      <c r="C31" s="1777"/>
      <c r="D31" s="1777"/>
      <c r="E31" s="1777"/>
      <c r="F31" s="580"/>
      <c r="G31" s="257" t="s">
        <v>171</v>
      </c>
      <c r="H31" s="321">
        <v>39.92</v>
      </c>
      <c r="I31" s="320">
        <f>H31+(H31*'Løntabel gældende fra'!$D$7%)</f>
        <v>43.309647120000001</v>
      </c>
      <c r="J31" s="249"/>
    </row>
    <row r="32" spans="1:10" ht="26" customHeight="1">
      <c r="A32" s="1768" t="s">
        <v>181</v>
      </c>
      <c r="B32" s="1769"/>
      <c r="C32" s="1769"/>
      <c r="D32" s="1769"/>
      <c r="E32" s="1769"/>
      <c r="F32" s="1769"/>
      <c r="G32" s="257" t="s">
        <v>171</v>
      </c>
      <c r="H32" s="321">
        <v>39.92</v>
      </c>
      <c r="I32" s="320">
        <f>H32+(H32*'Løntabel gældende fra'!$D$7%)</f>
        <v>43.309647120000001</v>
      </c>
      <c r="J32" s="249"/>
    </row>
    <row r="33" spans="1:10" ht="15" customHeight="1" thickBot="1">
      <c r="A33" s="288" t="s">
        <v>170</v>
      </c>
      <c r="B33" s="287"/>
      <c r="C33" s="287"/>
      <c r="D33" s="287"/>
      <c r="E33" s="271"/>
      <c r="F33" s="271"/>
      <c r="G33" s="282" t="s">
        <v>171</v>
      </c>
      <c r="H33" s="323">
        <v>39.92</v>
      </c>
      <c r="I33" s="318">
        <f>H33+(H33*'Løntabel gældende fra'!$D$7%)</f>
        <v>43.309647120000001</v>
      </c>
      <c r="J33" s="249"/>
    </row>
    <row r="34" spans="1:10" ht="15" customHeight="1" thickBot="1">
      <c r="A34" s="281"/>
      <c r="B34" s="281"/>
      <c r="C34" s="281"/>
      <c r="D34" s="281"/>
      <c r="E34" s="281"/>
      <c r="F34" s="281"/>
      <c r="G34" s="281"/>
      <c r="H34" s="240"/>
      <c r="I34" s="280"/>
      <c r="J34" s="249"/>
    </row>
    <row r="35" spans="1:10" ht="21" customHeight="1">
      <c r="A35" s="1159" t="s">
        <v>352</v>
      </c>
      <c r="B35" s="1160"/>
      <c r="C35" s="1160"/>
      <c r="D35" s="1160"/>
      <c r="E35" s="1160"/>
      <c r="F35" s="1160"/>
      <c r="G35" s="1160"/>
      <c r="H35" s="1160"/>
      <c r="I35" s="1161"/>
      <c r="J35" s="259"/>
    </row>
    <row r="36" spans="1:10" ht="21" customHeight="1" thickBot="1">
      <c r="A36" s="1247" t="s">
        <v>330</v>
      </c>
      <c r="B36" s="1248"/>
      <c r="C36" s="1248"/>
      <c r="D36" s="1248"/>
      <c r="E36" s="1248"/>
      <c r="F36" s="1248"/>
      <c r="G36" s="1248"/>
      <c r="H36" s="1248"/>
      <c r="I36" s="1249"/>
      <c r="J36" s="259"/>
    </row>
    <row r="37" spans="1:10" ht="27" customHeight="1" thickBot="1">
      <c r="A37" s="1825"/>
      <c r="B37" s="1826"/>
      <c r="C37" s="1826"/>
      <c r="D37" s="1826"/>
      <c r="E37" s="1826"/>
      <c r="F37" s="1826"/>
      <c r="G37" s="1827"/>
      <c r="H37" s="685" t="s">
        <v>373</v>
      </c>
      <c r="I37" s="688" t="s">
        <v>374</v>
      </c>
      <c r="J37" s="259"/>
    </row>
    <row r="38" spans="1:10" ht="15" customHeight="1" thickBot="1">
      <c r="A38" s="1825"/>
      <c r="B38" s="1826"/>
      <c r="C38" s="1826"/>
      <c r="D38" s="1826"/>
      <c r="E38" s="1826"/>
      <c r="F38" s="1826"/>
      <c r="G38" s="1827"/>
      <c r="H38" s="622">
        <v>40999</v>
      </c>
      <c r="I38" s="623" t="str">
        <f>'Løntabel gældende fra'!D1</f>
        <v>01/04/2019</v>
      </c>
      <c r="J38" s="259"/>
    </row>
    <row r="39" spans="1:10" ht="15" customHeight="1" thickBot="1">
      <c r="A39" s="1209" t="s">
        <v>183</v>
      </c>
      <c r="B39" s="1210"/>
      <c r="C39" s="1210"/>
      <c r="D39" s="1210"/>
      <c r="E39" s="1210"/>
      <c r="F39" s="624"/>
      <c r="G39" s="625" t="s">
        <v>171</v>
      </c>
      <c r="H39" s="325">
        <v>6.88</v>
      </c>
      <c r="I39" s="318">
        <f>H39+(H39*'Løntabel gældende fra'!D7%)</f>
        <v>7.4641876800000002</v>
      </c>
      <c r="J39" s="259"/>
    </row>
    <row r="40" spans="1:10" ht="15" customHeight="1" thickBot="1">
      <c r="A40" s="1822"/>
      <c r="B40" s="1822"/>
      <c r="C40" s="1822"/>
      <c r="D40" s="1822"/>
      <c r="E40" s="1822"/>
      <c r="F40" s="1822"/>
      <c r="G40" s="1822"/>
      <c r="H40" s="1822"/>
      <c r="I40" s="1822"/>
      <c r="J40" s="259"/>
    </row>
    <row r="41" spans="1:10" ht="21" customHeight="1">
      <c r="A41" s="1159" t="s">
        <v>184</v>
      </c>
      <c r="B41" s="1160"/>
      <c r="C41" s="1160"/>
      <c r="D41" s="1160"/>
      <c r="E41" s="1160"/>
      <c r="F41" s="1160"/>
      <c r="G41" s="1160"/>
      <c r="H41" s="1160"/>
      <c r="I41" s="1161"/>
      <c r="J41" s="259"/>
    </row>
    <row r="42" spans="1:10" ht="21" customHeight="1" thickBot="1">
      <c r="A42" s="1247" t="s">
        <v>334</v>
      </c>
      <c r="B42" s="1248"/>
      <c r="C42" s="1248"/>
      <c r="D42" s="1248"/>
      <c r="E42" s="1248"/>
      <c r="F42" s="1248"/>
      <c r="G42" s="1248"/>
      <c r="H42" s="1248"/>
      <c r="I42" s="1249"/>
      <c r="J42" s="259"/>
    </row>
    <row r="43" spans="1:10" ht="30" customHeight="1">
      <c r="A43" s="1829"/>
      <c r="B43" s="1830"/>
      <c r="C43" s="1830"/>
      <c r="D43" s="1830"/>
      <c r="E43" s="1830"/>
      <c r="F43" s="1830"/>
      <c r="G43" s="1831"/>
      <c r="H43" s="685" t="s">
        <v>133</v>
      </c>
      <c r="I43" s="686" t="s">
        <v>372</v>
      </c>
      <c r="J43" s="259"/>
    </row>
    <row r="44" spans="1:10" ht="15" customHeight="1" thickBot="1">
      <c r="A44" s="1832"/>
      <c r="B44" s="1833"/>
      <c r="C44" s="1833"/>
      <c r="D44" s="1833"/>
      <c r="E44" s="1833"/>
      <c r="F44" s="1833"/>
      <c r="G44" s="1834"/>
      <c r="H44" s="622">
        <v>40999</v>
      </c>
      <c r="I44" s="623" t="str">
        <f>'Løntabel gældende fra'!D1</f>
        <v>01/04/2019</v>
      </c>
      <c r="J44" s="259"/>
    </row>
    <row r="45" spans="1:10" ht="15" customHeight="1" thickBot="1">
      <c r="A45" s="1209" t="s">
        <v>197</v>
      </c>
      <c r="B45" s="1210"/>
      <c r="C45" s="1210"/>
      <c r="D45" s="1210"/>
      <c r="E45" s="1210"/>
      <c r="F45" s="624"/>
      <c r="G45" s="625"/>
      <c r="H45" s="325">
        <v>655</v>
      </c>
      <c r="I45" s="318">
        <f>H45+(H45*'Løntabel gældende fra'!D7%)</f>
        <v>710.61670500000002</v>
      </c>
      <c r="J45" s="259"/>
    </row>
    <row r="46" spans="1:10" ht="15" customHeight="1" thickBot="1">
      <c r="A46" s="249"/>
      <c r="B46" s="249"/>
      <c r="C46" s="249"/>
      <c r="D46" s="249"/>
      <c r="E46" s="249"/>
      <c r="F46" s="250"/>
      <c r="G46" s="249"/>
      <c r="H46" s="250"/>
      <c r="I46" s="249"/>
      <c r="J46" s="259"/>
    </row>
    <row r="47" spans="1:10" ht="21" customHeight="1">
      <c r="A47" s="1159" t="s">
        <v>353</v>
      </c>
      <c r="B47" s="1160"/>
      <c r="C47" s="1160"/>
      <c r="D47" s="1160"/>
      <c r="E47" s="1160"/>
      <c r="F47" s="1160"/>
      <c r="G47" s="1160"/>
      <c r="H47" s="1160"/>
      <c r="I47" s="1161"/>
      <c r="J47" s="259"/>
    </row>
    <row r="48" spans="1:10" ht="21" customHeight="1" thickBot="1">
      <c r="A48" s="1247" t="s">
        <v>330</v>
      </c>
      <c r="B48" s="1248"/>
      <c r="C48" s="1248"/>
      <c r="D48" s="1248"/>
      <c r="E48" s="1248"/>
      <c r="F48" s="1248"/>
      <c r="G48" s="1248"/>
      <c r="H48" s="1248"/>
      <c r="I48" s="1249"/>
      <c r="J48" s="259"/>
    </row>
    <row r="49" spans="1:10" ht="15" customHeight="1">
      <c r="A49" s="1805" t="s">
        <v>187</v>
      </c>
      <c r="B49" s="1806"/>
      <c r="C49" s="1806"/>
      <c r="D49" s="1806"/>
      <c r="E49" s="1806"/>
      <c r="F49" s="1806"/>
      <c r="G49" s="1828"/>
      <c r="H49" s="619" t="s">
        <v>99</v>
      </c>
      <c r="I49" s="621" t="s">
        <v>104</v>
      </c>
      <c r="J49" s="259"/>
    </row>
    <row r="50" spans="1:10" ht="15" customHeight="1" thickBot="1">
      <c r="A50" s="1758"/>
      <c r="B50" s="1759"/>
      <c r="C50" s="1759"/>
      <c r="D50" s="1759"/>
      <c r="E50" s="1759"/>
      <c r="F50" s="1759"/>
      <c r="G50" s="1760"/>
      <c r="H50" s="622">
        <v>40999</v>
      </c>
      <c r="I50" s="623" t="str">
        <f>'Løntabel gældende fra'!D1</f>
        <v>01/04/2019</v>
      </c>
      <c r="J50" s="259"/>
    </row>
    <row r="51" spans="1:10" ht="15" customHeight="1" thickBot="1">
      <c r="A51" s="1761" t="s">
        <v>186</v>
      </c>
      <c r="B51" s="1762"/>
      <c r="C51" s="1762"/>
      <c r="D51" s="1762"/>
      <c r="E51" s="1762"/>
      <c r="F51" s="255"/>
      <c r="G51" s="266"/>
      <c r="H51" s="325">
        <v>0</v>
      </c>
      <c r="I51" s="318">
        <v>0</v>
      </c>
      <c r="J51" s="259"/>
    </row>
    <row r="52" spans="1:10" ht="15" customHeight="1" thickBot="1">
      <c r="A52" s="249"/>
      <c r="B52" s="249"/>
      <c r="C52" s="249"/>
      <c r="D52" s="249"/>
      <c r="E52" s="249"/>
      <c r="F52" s="250"/>
      <c r="G52" s="249"/>
      <c r="H52" s="250"/>
      <c r="I52" s="249"/>
      <c r="J52" s="259"/>
    </row>
    <row r="53" spans="1:10" s="259" customFormat="1" ht="18">
      <c r="A53" s="1159" t="s">
        <v>354</v>
      </c>
      <c r="B53" s="1160"/>
      <c r="C53" s="1160"/>
      <c r="D53" s="1160"/>
      <c r="E53" s="1160"/>
      <c r="F53" s="1160"/>
      <c r="G53" s="1160"/>
      <c r="H53" s="1160"/>
      <c r="I53" s="1161"/>
    </row>
    <row r="54" spans="1:10" s="259" customFormat="1" ht="17" thickBot="1">
      <c r="A54" s="1247" t="s">
        <v>330</v>
      </c>
      <c r="B54" s="1248"/>
      <c r="C54" s="1248"/>
      <c r="D54" s="1248"/>
      <c r="E54" s="1248"/>
      <c r="F54" s="1248"/>
      <c r="G54" s="1248"/>
      <c r="H54" s="1248"/>
      <c r="I54" s="1249"/>
    </row>
    <row r="55" spans="1:10" s="259" customFormat="1" ht="28">
      <c r="A55" s="1206"/>
      <c r="B55" s="1207"/>
      <c r="C55" s="1207"/>
      <c r="D55" s="1207"/>
      <c r="E55" s="1207"/>
      <c r="F55" s="1207"/>
      <c r="G55" s="1208"/>
      <c r="H55" s="685" t="s">
        <v>133</v>
      </c>
      <c r="I55" s="686" t="s">
        <v>372</v>
      </c>
    </row>
    <row r="56" spans="1:10" s="259" customFormat="1" ht="15" thickBot="1">
      <c r="A56" s="1805"/>
      <c r="B56" s="1806"/>
      <c r="C56" s="1806"/>
      <c r="D56" s="1806"/>
      <c r="E56" s="1806"/>
      <c r="F56" s="1806"/>
      <c r="G56" s="1828"/>
      <c r="H56" s="622">
        <v>40999</v>
      </c>
      <c r="I56" s="623" t="str">
        <f>'Løntabel gældende fra'!D1</f>
        <v>01/04/2019</v>
      </c>
    </row>
    <row r="57" spans="1:10" s="259" customFormat="1" ht="15" thickBot="1">
      <c r="A57" s="1209" t="s">
        <v>190</v>
      </c>
      <c r="B57" s="1210"/>
      <c r="C57" s="1210"/>
      <c r="D57" s="1210"/>
      <c r="E57" s="1210"/>
      <c r="F57" s="624"/>
      <c r="G57" s="625"/>
      <c r="H57" s="325">
        <v>10500</v>
      </c>
      <c r="I57" s="326">
        <f>H57+(H57*'Løntabel gældende fra'!D7%)</f>
        <v>11391.565500000001</v>
      </c>
    </row>
    <row r="58" spans="1:10" s="286" customFormat="1" ht="14">
      <c r="A58" s="283"/>
      <c r="B58" s="283"/>
      <c r="C58" s="283"/>
      <c r="D58" s="283"/>
      <c r="E58" s="283"/>
      <c r="F58" s="270"/>
      <c r="G58" s="270"/>
      <c r="H58" s="284"/>
      <c r="I58" s="285"/>
    </row>
  </sheetData>
  <sheetProtection sheet="1" objects="1" scenarios="1"/>
  <mergeCells count="47">
    <mergeCell ref="A16:G16"/>
    <mergeCell ref="A57:E57"/>
    <mergeCell ref="A45:E45"/>
    <mergeCell ref="A51:E51"/>
    <mergeCell ref="A35:I35"/>
    <mergeCell ref="A37:G38"/>
    <mergeCell ref="A39:E39"/>
    <mergeCell ref="A53:I53"/>
    <mergeCell ref="A55:G56"/>
    <mergeCell ref="A48:I48"/>
    <mergeCell ref="A54:I54"/>
    <mergeCell ref="A49:G50"/>
    <mergeCell ref="A26:I26"/>
    <mergeCell ref="A32:F32"/>
    <mergeCell ref="A41:I41"/>
    <mergeCell ref="A43:G44"/>
    <mergeCell ref="A47:I47"/>
    <mergeCell ref="A40:I40"/>
    <mergeCell ref="A27:I27"/>
    <mergeCell ref="A36:I36"/>
    <mergeCell ref="A42:I42"/>
    <mergeCell ref="A28:G29"/>
    <mergeCell ref="A30:E30"/>
    <mergeCell ref="A31:E31"/>
    <mergeCell ref="A1:J1"/>
    <mergeCell ref="A2:J2"/>
    <mergeCell ref="A3:J3"/>
    <mergeCell ref="G8:J8"/>
    <mergeCell ref="A8:F8"/>
    <mergeCell ref="A5:J6"/>
    <mergeCell ref="A4:J4"/>
    <mergeCell ref="I10:I11"/>
    <mergeCell ref="J10:J11"/>
    <mergeCell ref="A24:D24"/>
    <mergeCell ref="A21:F21"/>
    <mergeCell ref="A22:D23"/>
    <mergeCell ref="G10:G11"/>
    <mergeCell ref="H10:H11"/>
    <mergeCell ref="A19:C19"/>
    <mergeCell ref="D19:E19"/>
    <mergeCell ref="F19:G19"/>
    <mergeCell ref="A15:G15"/>
    <mergeCell ref="A17:C18"/>
    <mergeCell ref="D17:E17"/>
    <mergeCell ref="F17:G17"/>
    <mergeCell ref="D18:E18"/>
    <mergeCell ref="F18:G18"/>
  </mergeCells>
  <phoneticPr fontId="6" type="noConversion"/>
  <pageMargins left="0.59" right="0.59" top="0.75" bottom="0.75" header="0.31" footer="0.31"/>
  <pageSetup paperSize="9" scale="69" orientation="portrait" r:id="rId1"/>
  <headerFooter>
    <oddFooter>&amp;C&amp;"Calibri,Normal"&amp;8&amp;K000000Løntabel 3F&amp;R&amp;"Calibri,Normal"&amp;8&amp;K000000&amp;Paf i alt &amp;N</oddFooter>
  </headerFooter>
  <rowBreaks count="1" manualBreakCount="1">
    <brk id="33" max="16383" man="1"/>
  </row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Regneark</vt:lpstr>
      </vt:variant>
      <vt:variant>
        <vt:i4>15</vt:i4>
      </vt:variant>
      <vt:variant>
        <vt:lpstr>Navngivne områder</vt:lpstr>
      </vt:variant>
      <vt:variant>
        <vt:i4>21</vt:i4>
      </vt:variant>
    </vt:vector>
  </HeadingPairs>
  <TitlesOfParts>
    <vt:vector size="36" baseType="lpstr">
      <vt:lpstr>Forside 1</vt:lpstr>
      <vt:lpstr>Lønoversigt mm.</vt:lpstr>
      <vt:lpstr>Lærere og bh kl ledere</vt:lpstr>
      <vt:lpstr>Ledere</vt:lpstr>
      <vt:lpstr>Gymnasieskoler</vt:lpstr>
      <vt:lpstr>BUPL</vt:lpstr>
      <vt:lpstr>3f (LS_DSSV)</vt:lpstr>
      <vt:lpstr>HK (LS)</vt:lpstr>
      <vt:lpstr>3f (DFF, DPS, DSSV)</vt:lpstr>
      <vt:lpstr>3F (DPS)</vt:lpstr>
      <vt:lpstr>HK (DFF, DPS)</vt:lpstr>
      <vt:lpstr>Krifa</vt:lpstr>
      <vt:lpstr>Generelle satser</vt:lpstr>
      <vt:lpstr>Statens skalatrin</vt:lpstr>
      <vt:lpstr>Løntabel gældende fra</vt:lpstr>
      <vt:lpstr>'3f (DFF, DPS, DSSV)'!Udskriftsområde</vt:lpstr>
      <vt:lpstr>'3f (LS_DSSV)'!Udskriftsområde</vt:lpstr>
      <vt:lpstr>BUPL!Udskriftsområde</vt:lpstr>
      <vt:lpstr>'Forside 1'!Udskriftsområde</vt:lpstr>
      <vt:lpstr>'Generelle satser'!Udskriftsområde</vt:lpstr>
      <vt:lpstr>Gymnasieskoler!Udskriftsområde</vt:lpstr>
      <vt:lpstr>'HK (DFF, DPS)'!Udskriftsområde</vt:lpstr>
      <vt:lpstr>'HK (LS)'!Udskriftsområde</vt:lpstr>
      <vt:lpstr>Krifa!Udskriftsområde</vt:lpstr>
      <vt:lpstr>Ledere!Udskriftsområde</vt:lpstr>
      <vt:lpstr>'Lærere og bh kl ledere'!Udskriftsområde</vt:lpstr>
      <vt:lpstr>'Løntabel gældende fra'!Udskriftsområde</vt:lpstr>
      <vt:lpstr>'Statens skalatrin'!Udskriftsområde</vt:lpstr>
      <vt:lpstr>'3f (DFF, DPS, DSSV)'!Udskriftstitler</vt:lpstr>
      <vt:lpstr>'3f (LS_DSSV)'!Udskriftstitler</vt:lpstr>
      <vt:lpstr>BUPL!Udskriftstitler</vt:lpstr>
      <vt:lpstr>'Generelle satser'!Udskriftstitler</vt:lpstr>
      <vt:lpstr>Gymnasieskoler!Udskriftstitler</vt:lpstr>
      <vt:lpstr>Ledere!Udskriftstitler</vt:lpstr>
      <vt:lpstr>'Lærere og bh kl ledere'!Udskriftstitler</vt:lpstr>
      <vt:lpstr>'Statens skalatrin'!Udskriftstitler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No Laursen</dc:creator>
  <cp:lastModifiedBy>Tove Dohn</cp:lastModifiedBy>
  <cp:lastPrinted>2019-04-03T09:24:01Z</cp:lastPrinted>
  <dcterms:created xsi:type="dcterms:W3CDTF">2014-05-07T09:31:49Z</dcterms:created>
  <dcterms:modified xsi:type="dcterms:W3CDTF">2019-05-06T10:27:21Z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_sAMAccountName">
    <vt:lpwstr>DFPHP</vt:lpwstr>
  </property>
  <property fmtid="{D5CDD505-2E9C-101B-9397-08002B2CF9AE}" pid="3" name="DL_AuthorInitials">
    <vt:lpwstr>DFPHP</vt:lpwstr>
  </property>
  <property fmtid="{D5CDD505-2E9C-101B-9397-08002B2CF9AE}" pid="4" name="fInit">
    <vt:lpwstr>DFPHP</vt:lpwstr>
  </property>
  <property fmtid="{D5CDD505-2E9C-101B-9397-08002B2CF9AE}" pid="5" name="fNavn">
    <vt:lpwstr>Peter Højgaard</vt:lpwstr>
  </property>
</Properties>
</file>