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tove/Documents/Løntabeller/2023/Oktober/"/>
    </mc:Choice>
  </mc:AlternateContent>
  <xr:revisionPtr revIDLastSave="0" documentId="8_{38925597-A267-6B42-BF27-2416DE262DD8}" xr6:coauthVersionLast="47" xr6:coauthVersionMax="47" xr10:uidLastSave="{00000000-0000-0000-0000-000000000000}"/>
  <bookViews>
    <workbookView xWindow="0" yWindow="500" windowWidth="28800" windowHeight="161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1'!$A$1:$I$26</definedName>
    <definedName name="_xlnm.Print_Area" localSheetId="12">'Generelle satser'!$A$1:$H$112</definedName>
    <definedName name="_xlnm.Print_Area" localSheetId="4">Gymnasieskoler!$A$1:$H$128</definedName>
    <definedName name="_xlnm.Print_Area" localSheetId="10">'HK (DFF, DPS, LS)'!$A$1:$K$77</definedName>
    <definedName name="_xlnm.Print_Area" localSheetId="7">'HK (LS)'!$A$1:$G$38</definedName>
    <definedName name="_xlnm.Print_Area" localSheetId="11">Krifa!$A$1:$J$61</definedName>
    <definedName name="_xlnm.Print_Area" localSheetId="3">Ledere!$A$1:$G$89</definedName>
    <definedName name="_xlnm.Print_Area" localSheetId="2">'Lærere og bh kl ledere'!$A$1:$I$168</definedName>
    <definedName name="_xlnm.Print_Area" localSheetId="14">'Løntabel gældende fra'!$A$1:$G$30</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A29" i="11" l="1"/>
  <c r="I91" i="1"/>
  <c r="I92" i="1"/>
  <c r="I83" i="1" l="1"/>
  <c r="I82" i="1"/>
  <c r="F52" i="20"/>
  <c r="J41" i="34"/>
  <c r="J32" i="34"/>
  <c r="J21" i="34"/>
  <c r="F20" i="33"/>
  <c r="H60" i="20"/>
  <c r="H61" i="20"/>
  <c r="F53" i="20"/>
  <c r="H53" i="20" s="1"/>
  <c r="H52" i="20"/>
  <c r="E110" i="35"/>
  <c r="E117" i="35" s="1"/>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21" i="35"/>
  <c r="D121" i="35" s="1"/>
  <c r="E121" i="35" s="1"/>
  <c r="C120" i="35"/>
  <c r="D120" i="35" s="1"/>
  <c r="E120" i="35" s="1"/>
  <c r="C113" i="35"/>
  <c r="D113" i="35" s="1"/>
  <c r="E113" i="35" s="1"/>
  <c r="G107" i="35"/>
  <c r="E107" i="35"/>
  <c r="G106" i="35"/>
  <c r="E106"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8" i="35"/>
  <c r="D98" i="35" s="1"/>
  <c r="E98" i="35" s="1"/>
  <c r="F97" i="1"/>
  <c r="F101" i="1"/>
  <c r="E103" i="35"/>
  <c r="A83" i="20"/>
  <c r="C97" i="35"/>
  <c r="D97" i="35" s="1"/>
  <c r="C119" i="35"/>
  <c r="D119" i="35" s="1"/>
  <c r="C112" i="35"/>
  <c r="D112"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1" i="1"/>
  <c r="F151" i="1"/>
  <c r="F124" i="1"/>
  <c r="I76" i="1"/>
  <c r="I88" i="1"/>
  <c r="D44" i="1"/>
  <c r="B44" i="1"/>
  <c r="E19" i="1"/>
  <c r="D9" i="1"/>
  <c r="G9" i="1"/>
  <c r="E9" i="1"/>
  <c r="H9" i="11"/>
  <c r="F9" i="11"/>
  <c r="D9" i="11"/>
  <c r="B9" i="11"/>
  <c r="D17" i="20"/>
  <c r="H74" i="10"/>
  <c r="O80" i="10"/>
  <c r="E38" i="20"/>
  <c r="D47" i="10"/>
  <c r="H92" i="10"/>
  <c r="D23" i="20"/>
  <c r="H56" i="10"/>
  <c r="O59" i="10"/>
  <c r="E22" i="20"/>
  <c r="E19" i="20"/>
  <c r="O116" i="10"/>
  <c r="F116" i="10"/>
  <c r="O65" i="10"/>
  <c r="G11" i="32"/>
  <c r="I11" i="32" s="1"/>
  <c r="G14" i="20"/>
  <c r="H14" i="20" s="1"/>
  <c r="C22" i="20"/>
  <c r="F89" i="10"/>
  <c r="G8" i="20" l="1"/>
  <c r="H8" i="20" s="1"/>
  <c r="E32" i="20"/>
  <c r="F153" i="1"/>
  <c r="G153" i="1" s="1"/>
  <c r="H153" i="1" s="1"/>
  <c r="O122" i="10"/>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85"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0" i="24" l="1"/>
  <c r="E134" i="1"/>
  <c r="F162" i="1"/>
  <c r="G162" i="1" s="1"/>
  <c r="H162" i="1" s="1"/>
  <c r="F136" i="1"/>
  <c r="G136" i="1" s="1"/>
  <c r="H136" i="1" s="1"/>
  <c r="I12" i="33"/>
  <c r="J10" i="33"/>
  <c r="H10" i="33" s="1"/>
  <c r="F137" i="1"/>
  <c r="G137" i="1" s="1"/>
  <c r="H137"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<sst xmlns="http://schemas.openxmlformats.org/spreadsheetml/2006/main" count="1251" uniqueCount="555">
  <si>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</si>
  <si>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</si>
  <si>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</si>
  <si>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</si>
  <si>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</si>
  <si>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</si>
  <si>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</si>
  <si>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</si>
  <si>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</si>
  <si>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</si>
  <si>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</si>
  <si>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</si>
  <si>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</si>
  <si>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</si>
  <si>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</si>
  <si>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</si>
  <si>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</si>
  <si>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</si>
  <si>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</si>
  <si>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</si>
  <si>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</si>
  <si>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</si>
  <si>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</si>
  <si>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</si>
  <si>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</si>
  <si>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</si>
  <si>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</si>
  <si>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</si>
  <si>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</si>
  <si>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</si>
  <si>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</si>
  <si>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</si>
  <si>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</si>
  <si>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</si>
  <si>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</si>
  <si>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</si>
  <si>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</si>
  <si>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</si>
  <si>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</si>
  <si>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</si>
  <si>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</si>
  <si>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</si>
  <si>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</si>
  <si>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</si>
  <si>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</si>
  <si>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</si>
  <si>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</si>
  <si>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</si>
  <si>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</si>
  <si>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</si>
  <si>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</si>
  <si>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</si>
  <si>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</si>
  <si>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</si>
  <si>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</si>
  <si>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</si>
  <si>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</si>
  <si>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</si>
  <si>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</si>
  <si>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</si>
  <si>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</si>
  <si>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</si>
  <si>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</si>
  <si>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</si>
  <si>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</si>
  <si>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</si>
  <si>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</si>
  <si>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</si>
  <si>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</si>
  <si>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</si>
  <si>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</si>
  <si>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</si>
  <si>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</si>
  <si>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</si>
  <si>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</si>
  <si>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</si>
  <si>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</si>
  <si>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</si>
  <si>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</si>
  <si>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</si>
  <si>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</si>
  <si>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</si>
  <si>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</si>
  <si>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</si>
  <si>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</si>
  <si>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</si>
  <si>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</si>
  <si>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</si>
  <si>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</si>
  <si>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</si>
  <si>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</si>
  <si>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</si>
  <si>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</si>
  <si>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</si>
  <si>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</si>
  <si>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</si>
  <si>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</si>
  <si>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</si>
  <si>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</si>
  <si>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</si>
  <si>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</si>
  <si>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</si>
  <si>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</si>
  <si>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</si>
  <si>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</si>
  <si>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</si>
  <si>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</si>
  <si>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</si>
  <si>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</si>
  <si>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</si>
  <si>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</si>
  <si>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</si>
  <si>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</si>
  <si>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</si>
  <si>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</si>
  <si>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</si>
  <si>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</si>
  <si>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</si>
  <si>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</si>
  <si>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</si>
  <si>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</si>
  <si>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</si>
  <si>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</si>
  <si>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</si>
  <si>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</si>
  <si>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</si>
  <si>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</si>
  <si>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</si>
  <si>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</si>
  <si>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</si>
  <si>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</si>
  <si>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</si>
  <si>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</si>
  <si>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</si>
  <si>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</si>
  <si>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</si>
  <si>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</si>
  <si>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</si>
  <si>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</si>
  <si>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</si>
  <si>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</si>
  <si>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</si>
  <si>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</si>
  <si>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</si>
  <si>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</si>
  <si>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</si>
  <si>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</si>
  <si>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</si>
  <si>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</si>
  <si>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</si>
  <si>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</si>
  <si>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</si>
  <si>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</si>
  <si>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</si>
  <si>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</si>
  <si>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</si>
  <si>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</si>
  <si>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</si>
  <si>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</si>
  <si>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</si>
  <si>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</si>
  <si>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</si>
  <si>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</si>
  <si>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</si>
  <si>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</si>
  <si>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</si>
  <si>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</si>
  <si>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</si>
  <si>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</si>
  <si>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</si>
  <si>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</si>
  <si>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</si>
  <si>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</si>
  <si>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</si>
  <si>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</si>
  <si>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</si>
  <si>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</si>
  <si>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</si>
  <si>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</si>
  <si>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</si>
  <si>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</si>
  <si>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</si>
  <si>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</si>
  <si>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</si>
  <si>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</si>
  <si>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</si>
  <si>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</si>
  <si>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</si>
  <si>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</si>
  <si>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</si>
  <si>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</si>
  <si>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</si>
  <si>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</si>
  <si>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</si>
  <si>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</si>
  <si>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</si>
  <si>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</si>
  <si>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</si>
  <si>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</si>
  <si>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</si>
  <si>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</si>
  <si>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</si>
  <si>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</si>
  <si>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</si>
  <si>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</si>
  <si>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</si>
  <si>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</si>
  <si>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</si>
  <si>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</si>
  <si>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</si>
  <si>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</si>
  <si>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</si>
  <si>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</si>
  <si>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</si>
  <si>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</si>
  <si>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</si>
  <si>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</si>
  <si>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</si>
  <si>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</si>
  <si>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</si>
  <si>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</si>
  <si>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</si>
  <si>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</si>
  <si>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</si>
  <si>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</si>
  <si>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</si>
  <si>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</si>
  <si>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</si>
  <si>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</si>
  <si>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</si>
  <si>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</si>
  <si>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</si>
  <si>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</si>
  <si>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</si>
  <si>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</si>
  <si>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</si>
  <si>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</si>
  <si>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</si>
  <si>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</si>
  <si>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</si>
  <si>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</si>
  <si>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</si>
  <si>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</si>
  <si>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</si>
  <si>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</si>
  <si>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</si>
  <si>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</si>
  <si>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</si>
  <si>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</si>
  <si>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</si>
  <si>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</si>
  <si>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</si>
  <si>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</si>
  <si>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</si>
  <si>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</si>
  <si>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</si>
  <si>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</si>
  <si>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</si>
  <si>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</si>
  <si>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</si>
  <si>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</si>
  <si>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</si>
  <si>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</si>
  <si>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</si>
  <si>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</si>
  <si>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</si>
  <si>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</si>
  <si>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</si>
  <si>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</si>
  <si>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</si>
  <si>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</si>
  <si>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</si>
  <si>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</si>
  <si>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</si>
  <si>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</si>
  <si>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</si>
  <si>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</si>
  <si>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</si>
  <si>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</si>
  <si>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</si>
  <si>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</si>
  <si>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</si>
  <si>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</si>
  <si>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</si>
  <si>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</si>
  <si>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</si>
  <si>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</si>
  <si>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</si>
  <si>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</si>
  <si>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</si>
  <si>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</si>
  <si>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</si>
  <si>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</si>
  <si>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</si>
  <si>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</si>
  <si>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</si>
  <si>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</si>
  <si>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</si>
  <si>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</si>
  <si>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</si>
  <si>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</si>
  <si>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</si>
  <si>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</si>
  <si>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</si>
  <si>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</si>
  <si>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</si>
  <si>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</si>
  <si>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</si>
  <si>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</si>
  <si>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</si>
  <si>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</si>
  <si>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</si>
  <si>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</si>
  <si>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</si>
  <si>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</si>
  <si>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</si>
  <si>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</si>
  <si>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</si>
  <si>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</si>
  <si>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</si>
  <si>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</si>
  <si>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</si>
  <si>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</si>
  <si>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</si>
  <si>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</si>
  <si>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</si>
  <si>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</si>
  <si>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</si>
  <si>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</si>
  <si>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</si>
  <si>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</si>
  <si>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</si>
  <si>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</si>
  <si>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</si>
  <si>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</si>
  <si>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</si>
  <si>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</si>
  <si>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</si>
  <si>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</si>
  <si>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</si>
  <si>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</si>
  <si>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</si>
  <si>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</si>
  <si>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</si>
  <si>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</si>
  <si>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</si>
  <si>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</si>
  <si>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</si>
  <si>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</si>
  <si>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</si>
  <si>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</si>
  <si>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</si>
  <si>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</si>
  <si>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</si>
  <si>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</si>
  <si>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</si>
  <si>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</si>
  <si>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</si>
  <si>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</si>
  <si>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</si>
  <si>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</si>
  <si>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</si>
  <si>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</si>
  <si>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</si>
  <si>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</si>
  <si>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</si>
  <si>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</si>
  <si>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</si>
  <si>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</si>
  <si>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</si>
  <si>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</si>
  <si>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</si>
  <si>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</si>
  <si>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</si>
  <si>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</si>
  <si>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</si>
  <si>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</si>
  <si>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</si>
  <si>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</si>
  <si>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</si>
  <si>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</si>
  <si>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</si>
  <si>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</si>
  <si>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</si>
  <si>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</si>
  <si>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</si>
  <si>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</si>
  <si>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</si>
  <si>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</si>
  <si>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</si>
  <si>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</si>
  <si>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</si>
  <si>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</si>
  <si>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</si>
  <si>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</si>
  <si>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</si>
  <si>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</si>
  <si>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</si>
  <si>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</si>
  <si>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</si>
  <si>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</si>
  <si>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</si>
  <si>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</si>
  <si>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</si>
  <si>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</si>
  <si>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</si>
  <si>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</si>
  <si>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</si>
  <si>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</si>
  <si>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</si>
  <si>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</si>
  <si>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</si>
  <si>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</si>
  <si>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</si>
  <si>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</si>
  <si>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</si>
  <si>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</si>
  <si>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</si>
  <si>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</si>
  <si>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</si>
  <si>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</si>
  <si>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</si>
  <si>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</si>
  <si>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</si>
  <si>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</si>
  <si>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</si>
  <si>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</si>
  <si>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</si>
  <si>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</si>
  <si>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</si>
  <si>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</si>
  <si>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</si>
  <si>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</si>
  <si>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</si>
  <si>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</si>
  <si>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</si>
  <si>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</si>
  <si>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</si>
  <si>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</si>
  <si>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</si>
  <si>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</si>
  <si>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</si>
  <si>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</si>
  <si>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</si>
  <si>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</si>
  <si>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</si>
  <si>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</si>
  <si>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</si>
  <si>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</si>
  <si>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</si>
  <si>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</si>
  <si>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</si>
  <si>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</si>
  <si>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</si>
  <si>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</si>
  <si>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</si>
  <si>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</si>
  <si>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</si>
  <si>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</si>
  <si>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</si>
  <si>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</si>
  <si>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</si>
  <si>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</si>
  <si>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</si>
  <si>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</si>
  <si>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</si>
  <si>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</si>
  <si>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</si>
  <si>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</si>
  <si>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</si>
  <si>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</si>
  <si>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</si>
  <si>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</si>
  <si>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</si>
  <si>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</si>
  <si>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</si>
  <si>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</si>
  <si>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</si>
  <si>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</si>
  <si>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</si>
  <si>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</si>
  <si>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</si>
  <si>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</si>
  <si>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</si>
  <si>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</si>
  <si>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</si>
  <si>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</si>
  <si>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</si>
  <si>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</si>
  <si>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</si>
  <si>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</si>
  <si>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</si>
  <si>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</si>
  <si>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</si>
  <si>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</si>
  <si>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</si>
  <si>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</si>
  <si>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</si>
  <si>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</si>
  <si>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</si>
  <si>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</si>
  <si>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</si>
  <si>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</si>
  <si>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</si>
  <si>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</si>
  <si>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</si>
  <si>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</si>
  <si>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</si>
  <si>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</si>
  <si>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</si>
  <si>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</si>
  <si>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</si>
  <si>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</si>
  <si>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</si>
  <si>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</si>
  <si>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</si>
  <si>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</si>
  <si>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</si>
  <si>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</si>
  <si>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</si>
  <si>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Arbejdsmiljøreprænstanter</t>
  </si>
  <si>
    <t>Arbejdsmiljørrepræsentanter der også er valgt som tillidsrepresentant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</si>
  <si>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</si>
  <si>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</si>
  <si>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</si>
  <si>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</si>
  <si>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</si>
  <si>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</si>
  <si>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</si>
  <si>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</si>
  <si>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Tillæg ved deltagelse i lejrskole og ligende elevarrangementer på hverdage med overnatning (pr. dag)</t>
  </si>
  <si>
    <t>Tillæg ved deltagelse i lejrskole og ligende elevarrangementer på lørdage, søndage og helligdage med overnatning (pr. dag)</t>
  </si>
  <si>
    <t>Gældende fra 1. januar 2023</t>
  </si>
  <si>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</si>
  <si>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</si>
  <si>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</si>
  <si>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</si>
  <si>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</si>
  <si>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</si>
  <si>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</si>
  <si>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 indtil 20.000 km pr. år derefter kr. 2,19</t>
  </si>
  <si>
    <t xml:space="preserve">Aftalt løn kr. 34.000,- pr. Måned </t>
  </si>
  <si>
    <t>Aftalt løn kr. 35.000,- pr. måned</t>
  </si>
  <si>
    <t>gældende for perioden 01.04.2023 til og med 31.03.2024</t>
  </si>
  <si>
    <t>Gældende fra 1. oktober 2023</t>
  </si>
  <si>
    <t>Denne løntabel er gældende frem til d. 31. december 2023</t>
  </si>
  <si>
    <t>Udgivet d. 8. september 2023</t>
  </si>
  <si>
    <t>Reguleringsprocenten er pr. 1. oktober 2023 steget fra 15,5339 til 15,9197</t>
  </si>
  <si>
    <t>01/10/23</t>
  </si>
  <si>
    <t>Skalatrinslønnen nærmest herunder på skalatrin 40: kr. 33.522,75 pr. måned.</t>
  </si>
  <si>
    <t>Pensionstilsvaret bliver 15% af den pensionsgivende løn på skalatrin 40 = 15% af kr. 33.522,75 pr. måned = kr. 5.028,41</t>
  </si>
  <si>
    <t>Skalatrinslønnen nærmest herunder på skalatrin 42: kr. 34.936,17 pr. måned.</t>
  </si>
  <si>
    <t>Pensionstilsvaret bliver 15% af den pensionsgivende løn på skalatrin 42 = 15% af kr. 34.936,17 pr. måned = kr. 5.240,43</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</si>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</sst>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3">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0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Alignment="1">
      <alignment horizontal="center"/>
    </xf>
    <xf numFmtId="0" fontId="12" fillId="0" borderId="0" xfId="0" applyFont="1"/>
    <xf numFmtId="0" fontId="12" fillId="0" borderId="0" xfId="0" applyFont="1" applyAlignment="1">
      <alignment horizontal="center"/>
    </xf>
    <xf numFmtId="3" fontId="12" fillId="0" borderId="0" xfId="0" applyNumberFormat="1" applyFont="1" applyAlignment="1">
      <alignment horizontal="center"/>
    </xf>
    <xf numFmtId="4" fontId="12" fillId="0" borderId="0" xfId="0" applyNumberFormat="1" applyFont="1" applyAlignment="1">
      <alignment horizontal="center"/>
    </xf>
    <xf numFmtId="0" fontId="12"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2" fillId="0" borderId="0" xfId="0" applyFont="1" applyAlignment="1">
      <alignment horizontal="center"/>
    </xf>
    <xf numFmtId="4" fontId="18" fillId="0" borderId="0" xfId="0" applyNumberFormat="1" applyFont="1" applyAlignment="1">
      <alignment horizontal="center"/>
    </xf>
    <xf numFmtId="0" fontId="21" fillId="0" borderId="0" xfId="0" applyFont="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10" fillId="0" borderId="0" xfId="0" applyFont="1" applyAlignment="1">
      <alignment horizontal="center"/>
    </xf>
    <xf numFmtId="0" fontId="13" fillId="0" borderId="0" xfId="0" applyFont="1"/>
    <xf numFmtId="0" fontId="15" fillId="0" borderId="0" xfId="0" applyFont="1" applyAlignment="1">
      <alignment horizontal="left" vertical="center" wrapText="1"/>
    </xf>
    <xf numFmtId="0" fontId="30" fillId="0" borderId="0" xfId="0" applyFont="1"/>
    <xf numFmtId="0" fontId="14" fillId="3" borderId="0" xfId="0" applyFont="1" applyFill="1" applyAlignment="1">
      <alignment horizontal="center"/>
    </xf>
    <xf numFmtId="0" fontId="31" fillId="3" borderId="0" xfId="0" applyFont="1" applyFill="1" applyAlignment="1">
      <alignment horizontal="center"/>
    </xf>
    <xf numFmtId="0" fontId="12" fillId="3" borderId="0" xfId="0" applyFont="1" applyFill="1" applyAlignment="1">
      <alignment horizontal="center"/>
    </xf>
    <xf numFmtId="0" fontId="12" fillId="3" borderId="23" xfId="0" applyFont="1" applyFill="1" applyBorder="1" applyAlignment="1">
      <alignment horizontal="right"/>
    </xf>
    <xf numFmtId="2" fontId="12" fillId="0" borderId="0" xfId="0" applyNumberFormat="1" applyFont="1" applyAlignment="1">
      <alignment horizontal="center"/>
    </xf>
    <xf numFmtId="4" fontId="12" fillId="0" borderId="0" xfId="0" applyNumberFormat="1" applyFo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Alignment="1">
      <alignment horizontal="center" wrapText="1"/>
    </xf>
    <xf numFmtId="0" fontId="12" fillId="3" borderId="23" xfId="0" applyFont="1" applyFill="1" applyBorder="1" applyAlignment="1">
      <alignment wrapText="1"/>
    </xf>
    <xf numFmtId="0" fontId="12" fillId="3" borderId="0" xfId="0" applyFont="1" applyFill="1" applyAlignment="1">
      <alignment wrapText="1"/>
    </xf>
    <xf numFmtId="4" fontId="12" fillId="3" borderId="0" xfId="0" applyNumberFormat="1" applyFont="1" applyFill="1" applyAlignment="1">
      <alignment horizontal="center" vertical="center"/>
    </xf>
    <xf numFmtId="3" fontId="12" fillId="3" borderId="0" xfId="0" applyNumberFormat="1" applyFont="1" applyFill="1" applyAlignment="1">
      <alignment horizontal="center"/>
    </xf>
    <xf numFmtId="4" fontId="12" fillId="3" borderId="0" xfId="0" applyNumberFormat="1" applyFont="1" applyFill="1" applyAlignment="1">
      <alignment horizontal="center"/>
    </xf>
    <xf numFmtId="0" fontId="12" fillId="3" borderId="0" xfId="0" applyFont="1" applyFill="1"/>
    <xf numFmtId="0" fontId="3" fillId="3" borderId="0" xfId="0" applyFont="1" applyFill="1"/>
    <xf numFmtId="0" fontId="15" fillId="3" borderId="0" xfId="0" applyFont="1" applyFill="1" applyAlignment="1">
      <alignment horizontal="center"/>
    </xf>
    <xf numFmtId="0" fontId="34" fillId="3" borderId="0" xfId="0" applyFont="1" applyFill="1" applyAlignment="1">
      <alignment horizontal="center" vertical="center" wrapText="1"/>
    </xf>
    <xf numFmtId="14" fontId="28" fillId="5" borderId="0" xfId="0" applyNumberFormat="1" applyFont="1" applyFill="1" applyAlignment="1">
      <alignment horizontal="center" vertical="center"/>
    </xf>
    <xf numFmtId="14" fontId="12" fillId="3" borderId="0" xfId="0" applyNumberFormat="1" applyFont="1" applyFill="1" applyAlignment="1">
      <alignment horizontal="center" vertical="center" wrapText="1"/>
    </xf>
    <xf numFmtId="0" fontId="15" fillId="3" borderId="0" xfId="0" applyFont="1" applyFill="1"/>
    <xf numFmtId="0" fontId="11" fillId="3" borderId="0" xfId="0" applyFont="1" applyFill="1" applyAlignment="1">
      <alignment vertical="center"/>
    </xf>
    <xf numFmtId="14" fontId="12" fillId="3" borderId="0" xfId="0" applyNumberFormat="1" applyFont="1" applyFill="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Alignment="1">
      <alignment horizontal="center"/>
    </xf>
    <xf numFmtId="4" fontId="14" fillId="0" borderId="0" xfId="0" applyNumberFormat="1" applyFont="1"/>
    <xf numFmtId="0" fontId="12" fillId="3" borderId="0" xfId="0" applyFont="1" applyFill="1" applyAlignment="1">
      <alignment horizontal="left" vertical="center" wrapText="1"/>
    </xf>
    <xf numFmtId="0" fontId="0" fillId="3" borderId="0" xfId="0" applyFill="1"/>
    <xf numFmtId="0" fontId="12" fillId="3" borderId="0" xfId="0" applyFont="1" applyFill="1" applyAlignment="1">
      <alignment horizontal="right" vertical="center"/>
    </xf>
    <xf numFmtId="2" fontId="12" fillId="3" borderId="0" xfId="0" applyNumberFormat="1" applyFont="1" applyFill="1" applyAlignment="1">
      <alignment horizontal="center" vertical="center" wrapText="1"/>
    </xf>
    <xf numFmtId="0" fontId="14" fillId="3" borderId="0" xfId="0" applyFont="1" applyFill="1" applyAlignment="1">
      <alignment horizontal="left"/>
    </xf>
    <xf numFmtId="0" fontId="12" fillId="3" borderId="0" xfId="0" applyFont="1" applyFill="1" applyAlignment="1">
      <alignment horizontal="right"/>
    </xf>
    <xf numFmtId="4" fontId="12" fillId="3" borderId="0" xfId="0" applyNumberFormat="1" applyFont="1" applyFill="1" applyAlignment="1">
      <alignment horizontal="right"/>
    </xf>
    <xf numFmtId="4" fontId="12" fillId="3" borderId="0" xfId="0" applyNumberFormat="1" applyFont="1" applyFill="1" applyAlignment="1">
      <alignment horizontal="center" vertical="center" wrapText="1"/>
    </xf>
    <xf numFmtId="0" fontId="31" fillId="3" borderId="0" xfId="0" applyFont="1" applyFill="1"/>
    <xf numFmtId="14" fontId="31" fillId="3" borderId="0" xfId="0" applyNumberFormat="1" applyFont="1" applyFill="1"/>
    <xf numFmtId="0" fontId="31" fillId="3" borderId="0" xfId="0" applyFont="1" applyFill="1" applyAlignment="1">
      <alignment horizontal="center" vertical="center"/>
    </xf>
    <xf numFmtId="0" fontId="31" fillId="3" borderId="0" xfId="0" applyFont="1" applyFill="1" applyAlignment="1">
      <alignment vertical="center"/>
    </xf>
    <xf numFmtId="14" fontId="14" fillId="3" borderId="0" xfId="0" applyNumberFormat="1" applyFont="1" applyFill="1" applyAlignment="1">
      <alignment horizontal="left"/>
    </xf>
    <xf numFmtId="14" fontId="14" fillId="3" borderId="0" xfId="0" applyNumberFormat="1" applyFont="1" applyFill="1" applyAlignment="1">
      <alignment horizontal="left" vertical="center" wrapText="1"/>
    </xf>
    <xf numFmtId="14" fontId="13" fillId="3" borderId="0" xfId="0" applyNumberFormat="1" applyFont="1" applyFill="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Alignment="1">
      <alignment horizontal="center" vertical="center" wrapText="1"/>
    </xf>
    <xf numFmtId="0" fontId="15" fillId="0" borderId="0" xfId="0" applyFont="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3" fontId="11" fillId="0" borderId="0" xfId="0" applyNumberFormat="1"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xf numFmtId="4" fontId="14" fillId="3" borderId="0" xfId="0" applyNumberFormat="1" applyFont="1" applyFill="1" applyAlignment="1">
      <alignment horizontal="left"/>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Alignment="1">
      <alignment horizontal="center" vertical="center"/>
    </xf>
    <xf numFmtId="0" fontId="32" fillId="0" borderId="46" xfId="0" applyFont="1" applyBorder="1" applyAlignment="1">
      <alignment horizontal="center"/>
    </xf>
    <xf numFmtId="0" fontId="14" fillId="0" borderId="49" xfId="0" applyFont="1" applyBorder="1" applyAlignment="1">
      <alignment horizontal="center"/>
    </xf>
    <xf numFmtId="0" fontId="14" fillId="0" borderId="41" xfId="0"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Alignment="1">
      <alignment horizontal="center" vertical="center"/>
    </xf>
    <xf numFmtId="4" fontId="39" fillId="3" borderId="0" xfId="709" applyNumberFormat="1" applyFill="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Alignment="1">
      <alignment horizontal="center"/>
    </xf>
    <xf numFmtId="0" fontId="41" fillId="0" borderId="0" xfId="709" applyFont="1"/>
    <xf numFmtId="0" fontId="41" fillId="0" borderId="0" xfId="709" applyFont="1" applyAlignment="1">
      <alignment horizontal="center"/>
    </xf>
    <xf numFmtId="166" fontId="39" fillId="0" borderId="0" xfId="709" applyNumberFormat="1" applyAlignment="1">
      <alignment horizontal="center"/>
    </xf>
    <xf numFmtId="166" fontId="39" fillId="0" borderId="0" xfId="709" applyNumberFormat="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Alignment="1">
      <alignment vertical="center" wrapText="1" shrinkToFit="1"/>
    </xf>
    <xf numFmtId="0" fontId="42" fillId="4" borderId="48" xfId="709" applyFont="1" applyFill="1" applyBorder="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xf numFmtId="4" fontId="38" fillId="0" borderId="0" xfId="709" applyNumberFormat="1" applyFont="1" applyAlignment="1">
      <alignment horizontal="justify" wrapText="1"/>
    </xf>
    <xf numFmtId="2" fontId="38" fillId="0" borderId="0" xfId="709" applyNumberFormat="1" applyFont="1" applyAlignment="1">
      <alignment horizontal="right" wrapText="1"/>
    </xf>
    <xf numFmtId="4" fontId="38" fillId="0" borderId="0" xfId="709" applyNumberFormat="1" applyFont="1" applyAlignment="1">
      <alignment horizontal="right" wrapText="1"/>
    </xf>
    <xf numFmtId="2" fontId="14" fillId="0" borderId="0" xfId="0" applyNumberFormat="1" applyFont="1" applyAlignment="1">
      <alignment horizontal="center"/>
    </xf>
    <xf numFmtId="0" fontId="42" fillId="3" borderId="0" xfId="709" applyFont="1" applyFill="1"/>
    <xf numFmtId="0" fontId="14" fillId="4" borderId="36" xfId="0" applyFont="1" applyFill="1" applyBorder="1" applyAlignment="1">
      <alignment horizontal="left" vertical="center" wrapText="1" shrinkToFit="1"/>
    </xf>
    <xf numFmtId="0" fontId="14" fillId="3" borderId="0" xfId="0" applyFont="1" applyFill="1" applyAlignment="1">
      <alignment horizontal="left" vertical="center" wrapText="1" shrinkToFit="1"/>
    </xf>
    <xf numFmtId="4" fontId="14" fillId="3" borderId="0" xfId="0" applyNumberFormat="1" applyFont="1" applyFill="1" applyAlignment="1">
      <alignment horizontal="center"/>
    </xf>
    <xf numFmtId="2" fontId="14" fillId="3" borderId="0" xfId="0" applyNumberFormat="1" applyFont="1" applyFill="1" applyAlignment="1">
      <alignment horizontal="center"/>
    </xf>
    <xf numFmtId="0" fontId="38" fillId="3" borderId="0" xfId="709" applyFont="1" applyFill="1"/>
    <xf numFmtId="0" fontId="38" fillId="4" borderId="48" xfId="709" applyFont="1" applyFill="1" applyBorder="1"/>
    <xf numFmtId="0" fontId="38" fillId="4" borderId="56" xfId="709" applyFont="1" applyFill="1" applyBorder="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Border="1" applyAlignment="1">
      <alignment horizontal="center" wrapText="1"/>
    </xf>
    <xf numFmtId="2" fontId="39" fillId="0" borderId="49" xfId="709" applyNumberFormat="1" applyBorder="1" applyAlignment="1">
      <alignment horizontal="center" wrapText="1"/>
    </xf>
    <xf numFmtId="4" fontId="39" fillId="0" borderId="49" xfId="709" applyNumberForma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Border="1" applyAlignment="1">
      <alignment horizontal="center" wrapText="1"/>
    </xf>
    <xf numFmtId="2" fontId="39" fillId="0" borderId="50" xfId="709" applyNumberFormat="1" applyBorder="1" applyAlignment="1">
      <alignment horizontal="center" wrapText="1"/>
    </xf>
    <xf numFmtId="4" fontId="39" fillId="0" borderId="50" xfId="709" applyNumberFormat="1" applyBorder="1" applyAlignment="1">
      <alignment horizontal="center" wrapText="1"/>
    </xf>
    <xf numFmtId="0" fontId="39" fillId="4" borderId="46" xfId="709" applyFill="1" applyBorder="1" applyAlignment="1">
      <alignment horizontal="center" vertical="top" wrapText="1"/>
    </xf>
    <xf numFmtId="0" fontId="39" fillId="4" borderId="43" xfId="709"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ill="1" applyBorder="1" applyAlignment="1">
      <alignment horizontal="center" vertical="center" wrapText="1"/>
    </xf>
    <xf numFmtId="4" fontId="14" fillId="0" borderId="34"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3" fillId="4" borderId="43" xfId="0" applyFont="1" applyFill="1" applyBorder="1" applyAlignment="1">
      <alignment horizontal="center"/>
    </xf>
    <xf numFmtId="4" fontId="39" fillId="3" borderId="0" xfId="709" applyNumberFormat="1" applyFill="1"/>
    <xf numFmtId="0" fontId="23" fillId="3" borderId="0" xfId="0" applyFont="1" applyFill="1" applyAlignment="1">
      <alignment wrapText="1"/>
    </xf>
    <xf numFmtId="0" fontId="23" fillId="3" borderId="0" xfId="0" applyFont="1" applyFill="1"/>
    <xf numFmtId="0" fontId="10" fillId="4" borderId="53" xfId="0" applyFont="1" applyFill="1" applyBorder="1" applyAlignment="1">
      <alignment vertical="center"/>
    </xf>
    <xf numFmtId="0" fontId="18" fillId="3" borderId="0" xfId="0" applyFont="1" applyFill="1" applyAlignment="1">
      <alignment vertical="center" wrapText="1"/>
    </xf>
    <xf numFmtId="2" fontId="12" fillId="3" borderId="0" xfId="0" applyNumberFormat="1" applyFont="1" applyFill="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xf numFmtId="4" fontId="14" fillId="3" borderId="0" xfId="0" applyNumberFormat="1" applyFont="1" applyFill="1"/>
    <xf numFmtId="0" fontId="13" fillId="4" borderId="23" xfId="0" applyFont="1" applyFill="1" applyBorder="1" applyAlignment="1">
      <alignment horizontal="center" wrapText="1"/>
    </xf>
    <xf numFmtId="10" fontId="13" fillId="3" borderId="0" xfId="0" applyNumberFormat="1" applyFont="1" applyFill="1" applyAlignment="1">
      <alignment vertical="center"/>
    </xf>
    <xf numFmtId="10" fontId="13" fillId="3" borderId="0" xfId="0" applyNumberFormat="1" applyFont="1" applyFill="1" applyAlignment="1">
      <alignment horizontal="left" vertical="center"/>
    </xf>
    <xf numFmtId="0" fontId="33" fillId="3" borderId="0" xfId="0" applyFont="1" applyFill="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Alignment="1">
      <alignment horizontal="left" vertical="center"/>
    </xf>
    <xf numFmtId="0" fontId="54" fillId="4" borderId="23" xfId="709" applyFont="1" applyFill="1" applyBorder="1"/>
    <xf numFmtId="0" fontId="38" fillId="4" borderId="0" xfId="709" applyFont="1" applyFill="1"/>
    <xf numFmtId="2" fontId="12"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54" fillId="4" borderId="52" xfId="709" applyFont="1" applyFill="1" applyBorder="1"/>
    <xf numFmtId="0" fontId="38" fillId="2" borderId="14" xfId="709" applyFont="1" applyFill="1" applyBorder="1"/>
    <xf numFmtId="0" fontId="38" fillId="2" borderId="47" xfId="709" applyFont="1" applyFill="1" applyBorder="1"/>
    <xf numFmtId="0" fontId="38" fillId="2" borderId="48" xfId="709" applyFont="1" applyFill="1" applyBorder="1"/>
    <xf numFmtId="0" fontId="38" fillId="2" borderId="14" xfId="709" applyFont="1" applyFill="1" applyBorder="1" applyAlignment="1">
      <alignment wrapText="1"/>
    </xf>
    <xf numFmtId="0" fontId="38" fillId="4" borderId="47" xfId="709" applyFont="1" applyFill="1" applyBorder="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xf numFmtId="0" fontId="12" fillId="3" borderId="22" xfId="0" applyFont="1" applyFill="1" applyBorder="1"/>
    <xf numFmtId="0" fontId="0" fillId="0" borderId="18" xfId="0" applyBorder="1"/>
    <xf numFmtId="0" fontId="11"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2" fillId="3" borderId="0" xfId="0" applyFont="1" applyFill="1" applyAlignment="1">
      <alignment horizontal="left"/>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Alignment="1">
      <alignment horizontal="left" vertical="top" wrapText="1"/>
    </xf>
    <xf numFmtId="4" fontId="14" fillId="0" borderId="45" xfId="0" applyNumberFormat="1" applyFont="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Border="1" applyAlignment="1">
      <alignment vertical="center" wrapText="1"/>
    </xf>
    <xf numFmtId="0" fontId="33" fillId="0" borderId="0" xfId="0" applyFont="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Alignment="1">
      <alignment horizontal="center"/>
    </xf>
    <xf numFmtId="168" fontId="62" fillId="0" borderId="0" xfId="773" applyFont="1" applyBorder="1" applyAlignment="1">
      <alignment horizontal="justify" wrapText="1"/>
    </xf>
    <xf numFmtId="0" fontId="65" fillId="0" borderId="0" xfId="709" applyFont="1"/>
    <xf numFmtId="0" fontId="3" fillId="0" borderId="19" xfId="0" applyFont="1" applyBorder="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Alignment="1">
      <alignment horizontal="center" vertical="center" wrapText="1"/>
    </xf>
    <xf numFmtId="0" fontId="17" fillId="0" borderId="0" xfId="0" applyFont="1"/>
    <xf numFmtId="14" fontId="24" fillId="3" borderId="0" xfId="0" applyNumberFormat="1" applyFont="1" applyFill="1"/>
    <xf numFmtId="0" fontId="13" fillId="0" borderId="0" xfId="0" applyFont="1" applyAlignment="1">
      <alignment horizontal="center"/>
    </xf>
    <xf numFmtId="0" fontId="17" fillId="0" borderId="0" xfId="0" applyFont="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xf numFmtId="0" fontId="3" fillId="0" borderId="0" xfId="0" applyFont="1" applyAlignment="1">
      <alignment horizontal="center" vertical="center" wrapText="1"/>
    </xf>
    <xf numFmtId="0" fontId="37" fillId="0" borderId="0" xfId="0" applyFont="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Protection="1">
      <protection locked="0"/>
    </xf>
    <xf numFmtId="0" fontId="14" fillId="3" borderId="0" xfId="0" applyFont="1" applyFill="1" applyAlignment="1" applyProtection="1">
      <alignment horizontal="left"/>
      <protection locked="0"/>
    </xf>
    <xf numFmtId="14" fontId="14" fillId="3" borderId="0" xfId="0" applyNumberFormat="1" applyFont="1" applyFill="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Protection="1">
      <protection locked="0"/>
    </xf>
    <xf numFmtId="0" fontId="77" fillId="0" borderId="0" xfId="0" applyFont="1" applyAlignment="1">
      <alignment horizontal="left" vertical="center" wrapText="1"/>
    </xf>
    <xf numFmtId="0" fontId="72" fillId="3" borderId="0" xfId="0" applyFont="1" applyFill="1" applyAlignment="1">
      <alignment horizontal="center" vertical="center" wrapText="1"/>
    </xf>
    <xf numFmtId="4" fontId="77" fillId="0" borderId="0" xfId="0" applyNumberFormat="1" applyFont="1" applyAlignment="1">
      <alignment horizontal="center"/>
    </xf>
    <xf numFmtId="4" fontId="77" fillId="0" borderId="0" xfId="0" applyNumberFormat="1" applyFont="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Alignment="1">
      <alignment horizontal="left" vertical="center"/>
    </xf>
    <xf numFmtId="0" fontId="3" fillId="0" borderId="0" xfId="0" applyFont="1" applyAlignment="1">
      <alignment vertical="center"/>
    </xf>
    <xf numFmtId="4" fontId="67" fillId="0" borderId="0" xfId="0" applyNumberFormat="1" applyFont="1"/>
    <xf numFmtId="0" fontId="70" fillId="0" borderId="0" xfId="0" applyFont="1"/>
    <xf numFmtId="0" fontId="3" fillId="0" borderId="0" xfId="0" applyFont="1" applyProtection="1">
      <protection locked="0"/>
    </xf>
    <xf numFmtId="0" fontId="81" fillId="3" borderId="0" xfId="0" applyFont="1" applyFill="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17" fillId="3" borderId="23" xfId="0" applyFont="1" applyFill="1" applyBorder="1" applyAlignment="1">
      <alignment horizontal="center" vertical="center"/>
    </xf>
    <xf numFmtId="0" fontId="62" fillId="4" borderId="47" xfId="709" applyFont="1" applyFill="1" applyBorder="1"/>
    <xf numFmtId="0" fontId="62" fillId="4" borderId="48" xfId="709" applyFont="1" applyFill="1" applyBorder="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Alignment="1">
      <alignment vertical="top" wrapText="1"/>
    </xf>
    <xf numFmtId="0" fontId="16" fillId="3" borderId="0" xfId="0" applyFont="1" applyFill="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lignment horizontal="center"/>
    </xf>
    <xf numFmtId="4" fontId="77" fillId="0" borderId="39" xfId="0" applyNumberFormat="1" applyFont="1" applyBorder="1" applyAlignment="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26"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0" fontId="84" fillId="0" borderId="0" xfId="0" applyFont="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ill="1" applyBorder="1" applyAlignment="1">
      <alignment horizontal="center" vertical="center" wrapText="1"/>
    </xf>
    <xf numFmtId="4" fontId="39" fillId="0" borderId="33" xfId="709" applyNumberFormat="1" applyBorder="1" applyAlignment="1">
      <alignment horizontal="center" vertical="center" wrapText="1"/>
    </xf>
    <xf numFmtId="4" fontId="39" fillId="0" borderId="39" xfId="709" applyNumberFormat="1" applyBorder="1" applyAlignment="1">
      <alignment horizontal="center" vertical="center" wrapText="1"/>
    </xf>
    <xf numFmtId="4" fontId="39" fillId="0" borderId="37" xfId="709" applyNumberForma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ill="1" applyBorder="1" applyAlignment="1">
      <alignment horizontal="center" vertical="center" wrapText="1"/>
    </xf>
    <xf numFmtId="4" fontId="39" fillId="0" borderId="38" xfId="709" applyNumberForma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Border="1" applyAlignment="1">
      <alignment horizontal="center" vertical="center" wrapText="1"/>
    </xf>
    <xf numFmtId="4" fontId="39" fillId="0" borderId="27" xfId="709" applyNumberForma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Border="1" applyAlignment="1">
      <alignment horizontal="center" vertical="center" wrapText="1"/>
    </xf>
    <xf numFmtId="4" fontId="39" fillId="0" borderId="5" xfId="709" applyNumberFormat="1" applyBorder="1" applyAlignment="1">
      <alignment horizontal="center" vertical="center" wrapText="1"/>
    </xf>
    <xf numFmtId="4" fontId="39" fillId="0" borderId="6" xfId="709" applyNumberForma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ill="1" applyAlignment="1">
      <alignment horizontal="center" vertical="top" wrapText="1"/>
    </xf>
    <xf numFmtId="0" fontId="39" fillId="3" borderId="0" xfId="709" applyFill="1" applyAlignment="1">
      <alignment horizontal="center" vertical="center" wrapText="1"/>
    </xf>
    <xf numFmtId="2" fontId="16" fillId="3" borderId="0" xfId="0" applyNumberFormat="1" applyFont="1" applyFill="1" applyAlignment="1">
      <alignment horizontal="center" vertical="center"/>
    </xf>
    <xf numFmtId="4" fontId="16" fillId="0" borderId="0" xfId="0" applyNumberFormat="1" applyFont="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ill="1" applyBorder="1" applyAlignment="1">
      <alignment horizontal="center" vertical="top" wrapText="1"/>
    </xf>
    <xf numFmtId="0" fontId="39" fillId="3" borderId="52" xfId="709" applyFill="1" applyBorder="1" applyAlignment="1">
      <alignment horizontal="center" vertical="center" wrapText="1"/>
    </xf>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52" fillId="3" borderId="0" xfId="0" applyFont="1" applyFill="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xf numFmtId="0" fontId="38" fillId="3" borderId="48" xfId="709" applyFont="1" applyFill="1" applyBorder="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Alignment="1">
      <alignment horizontal="center"/>
    </xf>
    <xf numFmtId="0" fontId="12" fillId="3" borderId="0" xfId="0" applyFont="1" applyFill="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Alignment="1">
      <alignment horizontal="center" wrapText="1"/>
    </xf>
    <xf numFmtId="0" fontId="10" fillId="3" borderId="0" xfId="0" applyFont="1" applyFill="1" applyAlignment="1">
      <alignment horizont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xf numFmtId="0" fontId="50" fillId="8" borderId="22" xfId="0" applyFont="1" applyFill="1" applyBorder="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Alignment="1">
      <alignment horizontal="center" vertical="center"/>
    </xf>
    <xf numFmtId="14" fontId="23" fillId="3" borderId="0" xfId="0" applyNumberFormat="1" applyFont="1" applyFill="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4" fontId="16" fillId="0" borderId="54" xfId="0" applyNumberFormat="1" applyFont="1" applyBorder="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ill="1" applyBorder="1" applyAlignment="1">
      <alignment horizontal="center" vertical="top"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0" fontId="39" fillId="4" borderId="50" xfId="709" applyFill="1" applyBorder="1" applyAlignment="1">
      <alignment horizontal="center" vertical="top" wrapText="1"/>
    </xf>
    <xf numFmtId="4" fontId="14" fillId="0" borderId="53" xfId="0" applyNumberFormat="1" applyFont="1" applyBorder="1" applyAlignment="1">
      <alignment horizontal="center"/>
    </xf>
    <xf numFmtId="4" fontId="14" fillId="3" borderId="49" xfId="0" applyNumberFormat="1" applyFont="1" applyFill="1" applyBorder="1" applyAlignment="1">
      <alignment horizontal="center"/>
    </xf>
    <xf numFmtId="0" fontId="92" fillId="3" borderId="0" xfId="0" applyFont="1" applyFill="1" applyAlignment="1">
      <alignment horizontal="left" vertical="top" wrapText="1"/>
    </xf>
    <xf numFmtId="14" fontId="12" fillId="0" borderId="9" xfId="0" applyNumberFormat="1" applyFont="1" applyBorder="1" applyAlignment="1">
      <alignment horizontal="center"/>
    </xf>
    <xf numFmtId="0" fontId="12" fillId="0" borderId="11" xfId="0" applyFont="1" applyBorder="1"/>
    <xf numFmtId="4" fontId="39" fillId="4" borderId="46" xfId="773" applyNumberFormat="1" applyFont="1" applyFill="1" applyBorder="1" applyAlignment="1">
      <alignment horizontal="center" wrapText="1"/>
    </xf>
    <xf numFmtId="4" fontId="39" fillId="0" borderId="49" xfId="0" applyNumberFormat="1" applyFont="1" applyBorder="1" applyAlignment="1">
      <alignment horizontal="center" wrapText="1"/>
    </xf>
    <xf numFmtId="14" fontId="41" fillId="4" borderId="41" xfId="774" applyNumberFormat="1" applyFont="1" applyFill="1" applyBorder="1" applyAlignment="1">
      <alignment horizontal="center" vertical="top"/>
    </xf>
    <xf numFmtId="4" fontId="39" fillId="4" borderId="46" xfId="709" applyNumberFormat="1" applyFill="1" applyBorder="1" applyAlignment="1">
      <alignment horizontal="center" wrapText="1"/>
    </xf>
    <xf numFmtId="4" fontId="39" fillId="4" borderId="27" xfId="773" applyNumberFormat="1" applyFont="1" applyFill="1" applyBorder="1" applyAlignment="1">
      <alignment horizontal="center" wrapText="1"/>
    </xf>
    <xf numFmtId="4" fontId="39" fillId="4" borderId="36" xfId="773" applyNumberFormat="1" applyFont="1" applyFill="1" applyBorder="1" applyAlignment="1">
      <alignment horizontal="center" wrapText="1"/>
    </xf>
    <xf numFmtId="4" fontId="39" fillId="4" borderId="16" xfId="709" applyNumberFormat="1" applyFill="1" applyBorder="1" applyAlignment="1">
      <alignment horizontal="center" wrapText="1"/>
    </xf>
    <xf numFmtId="14" fontId="41" fillId="4" borderId="16" xfId="774" applyNumberFormat="1" applyFont="1" applyFill="1" applyBorder="1" applyAlignment="1">
      <alignment horizontal="center" vertical="top"/>
    </xf>
    <xf numFmtId="4" fontId="39" fillId="4" borderId="15" xfId="773" applyNumberFormat="1" applyFont="1" applyFill="1" applyBorder="1" applyAlignment="1">
      <alignment horizontal="center" wrapText="1"/>
    </xf>
    <xf numFmtId="4" fontId="39" fillId="0" borderId="46" xfId="0" applyNumberFormat="1" applyFont="1" applyBorder="1" applyAlignment="1">
      <alignment horizontal="center" wrapText="1"/>
    </xf>
    <xf numFmtId="2" fontId="12" fillId="3" borderId="55" xfId="0" applyNumberFormat="1" applyFont="1" applyFill="1" applyBorder="1" applyAlignment="1">
      <alignment horizontal="center" vertical="center" wrapText="1"/>
    </xf>
    <xf numFmtId="0" fontId="15" fillId="0" borderId="0" xfId="0" applyFont="1" applyAlignment="1">
      <alignment horizontal="center"/>
    </xf>
    <xf numFmtId="0" fontId="14" fillId="4" borderId="0" xfId="0" applyFont="1" applyFill="1" applyAlignment="1">
      <alignment horizontal="center" vertical="top" wrapText="1"/>
    </xf>
    <xf numFmtId="0" fontId="28" fillId="4" borderId="0" xfId="0" applyFont="1" applyFill="1" applyAlignment="1">
      <alignment horizontal="center" vertical="center" wrapText="1"/>
    </xf>
    <xf numFmtId="0" fontId="10"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center" wrapText="1"/>
    </xf>
    <xf numFmtId="0" fontId="12" fillId="0" borderId="0" xfId="0" applyFont="1" applyAlignment="1">
      <alignment horizontal="left" vertical="center" wrapText="1"/>
    </xf>
    <xf numFmtId="0" fontId="12" fillId="0" borderId="0" xfId="0" applyFont="1" applyAlignment="1">
      <alignment horizontal="left" wrapText="1"/>
    </xf>
    <xf numFmtId="0" fontId="11" fillId="0" borderId="0" xfId="0" applyFont="1" applyAlignment="1">
      <alignment horizontal="left"/>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87" fillId="0" borderId="0" xfId="0" applyFont="1" applyAlignment="1">
      <alignment horizontal="left" vertic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Alignment="1">
      <alignment horizontal="left" vertical="center" wrapText="1"/>
    </xf>
    <xf numFmtId="0" fontId="12" fillId="3" borderId="20" xfId="0" applyFont="1" applyFill="1" applyBorder="1" applyAlignment="1">
      <alignment horizontal="left" vertical="center" wrapText="1"/>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4" fontId="14" fillId="0" borderId="13" xfId="0" applyNumberFormat="1" applyFont="1" applyBorder="1" applyAlignment="1">
      <alignment horizontal="center"/>
    </xf>
    <xf numFmtId="4" fontId="14" fillId="0" borderId="14" xfId="0" applyNumberFormat="1" applyFont="1" applyBorder="1" applyAlignment="1">
      <alignment horizontal="center"/>
    </xf>
    <xf numFmtId="4" fontId="14" fillId="0" borderId="15" xfId="0" applyNumberFormat="1" applyFont="1" applyBorder="1" applyAlignment="1">
      <alignment horizontal="center"/>
    </xf>
    <xf numFmtId="4" fontId="14" fillId="0" borderId="44" xfId="0" applyNumberFormat="1" applyFont="1" applyBorder="1" applyAlignment="1">
      <alignment horizontal="center"/>
    </xf>
    <xf numFmtId="4" fontId="14" fillId="0" borderId="47" xfId="0" applyNumberFormat="1" applyFont="1" applyBorder="1" applyAlignment="1">
      <alignment horizontal="center"/>
    </xf>
    <xf numFmtId="4" fontId="14" fillId="0" borderId="27" xfId="0" applyNumberFormat="1" applyFont="1" applyBorder="1" applyAlignment="1">
      <alignment horizontal="center"/>
    </xf>
    <xf numFmtId="4" fontId="14" fillId="0" borderId="56"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14" fontId="23" fillId="4" borderId="19" xfId="0" applyNumberFormat="1" applyFont="1" applyFill="1" applyBorder="1" applyAlignment="1">
      <alignment horizontal="center" vertical="center"/>
    </xf>
    <xf numFmtId="14" fontId="23" fillId="4" borderId="0" xfId="0" applyNumberFormat="1" applyFont="1" applyFill="1" applyAlignment="1">
      <alignment horizontal="center" vertical="center"/>
    </xf>
    <xf numFmtId="14" fontId="23" fillId="4" borderId="20" xfId="0" applyNumberFormat="1" applyFont="1" applyFill="1" applyBorder="1" applyAlignment="1">
      <alignment horizontal="center" vertic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0" fontId="14" fillId="4" borderId="24" xfId="0" applyFont="1" applyFill="1" applyBorder="1" applyAlignment="1">
      <alignment horizontal="left" wrapText="1"/>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0" xfId="0" applyFont="1" applyFill="1" applyAlignment="1">
      <alignment horizontal="center" vertical="center"/>
    </xf>
    <xf numFmtId="0" fontId="13" fillId="4" borderId="19" xfId="0"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16" xfId="0" applyFont="1" applyFill="1" applyBorder="1" applyAlignment="1">
      <alignment horizontal="center"/>
    </xf>
    <xf numFmtId="0" fontId="13" fillId="4" borderId="17" xfId="0" applyFont="1" applyFill="1" applyBorder="1" applyAlignment="1">
      <alignment horizontal="center"/>
    </xf>
    <xf numFmtId="49" fontId="13" fillId="4" borderId="19" xfId="0" applyNumberFormat="1" applyFont="1" applyFill="1" applyBorder="1" applyAlignment="1">
      <alignment horizontal="center"/>
    </xf>
    <xf numFmtId="0" fontId="13" fillId="4" borderId="20" xfId="0" applyFont="1" applyFill="1" applyBorder="1" applyAlignment="1">
      <alignment horizontal="center"/>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34" xfId="0" quotePrefix="1" applyFont="1" applyFill="1" applyBorder="1" applyAlignment="1">
      <alignment horizontal="left"/>
    </xf>
    <xf numFmtId="0" fontId="14" fillId="4" borderId="2" xfId="0" quotePrefix="1" applyFont="1" applyFill="1" applyBorder="1" applyAlignment="1">
      <alignment horizontal="left"/>
    </xf>
    <xf numFmtId="0" fontId="14" fillId="4" borderId="45" xfId="0" quotePrefix="1" applyFont="1" applyFill="1" applyBorder="1" applyAlignment="1">
      <alignment horizontal="left"/>
    </xf>
    <xf numFmtId="0" fontId="14" fillId="4" borderId="44" xfId="0" quotePrefix="1" applyFont="1" applyFill="1" applyBorder="1" applyAlignment="1">
      <alignment horizontal="left"/>
    </xf>
    <xf numFmtId="0" fontId="14" fillId="4" borderId="47" xfId="0" quotePrefix="1" applyFont="1" applyFill="1" applyBorder="1" applyAlignment="1">
      <alignment horizontal="left"/>
    </xf>
    <xf numFmtId="0" fontId="14" fillId="4" borderId="27" xfId="0" quotePrefix="1" applyFont="1" applyFill="1" applyBorder="1" applyAlignment="1">
      <alignment horizontal="left"/>
    </xf>
    <xf numFmtId="0" fontId="13" fillId="4" borderId="20" xfId="0"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4" fontId="13" fillId="4" borderId="19" xfId="0" applyNumberFormat="1" applyFont="1" applyFill="1" applyBorder="1" applyAlignment="1">
      <alignment horizontal="center"/>
    </xf>
    <xf numFmtId="0" fontId="14" fillId="4" borderId="51" xfId="0" applyFont="1" applyFill="1" applyBorder="1" applyAlignment="1">
      <alignment horizontal="left"/>
    </xf>
    <xf numFmtId="0" fontId="14" fillId="4" borderId="52" xfId="0" applyFont="1" applyFill="1" applyBorder="1" applyAlignment="1">
      <alignment horizontal="left"/>
    </xf>
    <xf numFmtId="0" fontId="23" fillId="3" borderId="0" xfId="0" applyFont="1" applyFill="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61" fillId="4" borderId="19" xfId="0" applyFont="1" applyFill="1" applyBorder="1" applyAlignment="1">
      <alignment horizontal="center"/>
    </xf>
    <xf numFmtId="0" fontId="61" fillId="4" borderId="0" xfId="0" applyFont="1" applyFill="1" applyAlignment="1">
      <alignment horizontal="center"/>
    </xf>
    <xf numFmtId="0" fontId="61" fillId="4" borderId="20" xfId="0" applyFont="1" applyFill="1" applyBorder="1" applyAlignment="1">
      <alignment horizontal="center"/>
    </xf>
    <xf numFmtId="4" fontId="14" fillId="0" borderId="56" xfId="0" applyNumberFormat="1" applyFont="1" applyBorder="1" applyAlignment="1">
      <alignment horizontal="center" vertical="center"/>
    </xf>
    <xf numFmtId="4" fontId="14" fillId="0" borderId="48" xfId="0" applyNumberFormat="1" applyFont="1" applyBorder="1" applyAlignment="1">
      <alignment horizontal="center" vertical="center"/>
    </xf>
    <xf numFmtId="4" fontId="14" fillId="0" borderId="36" xfId="0" applyNumberFormat="1" applyFont="1" applyBorder="1" applyAlignment="1">
      <alignment horizontal="center" vertical="center"/>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14" fontId="33" fillId="6" borderId="61" xfId="0" applyNumberFormat="1" applyFont="1" applyFill="1" applyBorder="1" applyAlignment="1">
      <alignment horizontal="center" vertical="center"/>
    </xf>
    <xf numFmtId="14" fontId="33" fillId="6" borderId="66" xfId="0" applyNumberFormat="1" applyFont="1" applyFill="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7" xfId="0" applyFont="1" applyFill="1" applyBorder="1" applyAlignment="1">
      <alignment horizontal="center" vertical="center"/>
    </xf>
    <xf numFmtId="0" fontId="13" fillId="4" borderId="13" xfId="0" applyFont="1" applyFill="1" applyBorder="1" applyAlignment="1">
      <alignment horizontal="center" vertical="center"/>
    </xf>
    <xf numFmtId="14" fontId="13" fillId="4" borderId="21" xfId="0" applyNumberFormat="1"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0" xfId="0" applyFont="1" applyFill="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14" fontId="33" fillId="6" borderId="53" xfId="0" applyNumberFormat="1" applyFont="1" applyFill="1" applyBorder="1" applyAlignment="1">
      <alignment horizontal="center" vertical="center"/>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0" fontId="14" fillId="4" borderId="28" xfId="0" quotePrefix="1" applyFont="1" applyFill="1" applyBorder="1" applyAlignment="1">
      <alignment horizontal="left" wrapText="1"/>
    </xf>
    <xf numFmtId="0" fontId="14" fillId="4" borderId="29" xfId="0" quotePrefix="1" applyFont="1" applyFill="1" applyBorder="1" applyAlignment="1">
      <alignment horizontal="left" wrapText="1"/>
    </xf>
    <xf numFmtId="0" fontId="14" fillId="4" borderId="30" xfId="0" quotePrefix="1" applyFont="1" applyFill="1" applyBorder="1" applyAlignment="1">
      <alignment horizontal="left" wrapText="1"/>
    </xf>
    <xf numFmtId="0" fontId="32" fillId="5" borderId="51"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32" fillId="5" borderId="53" xfId="0" applyFont="1" applyFill="1" applyBorder="1" applyAlignment="1">
      <alignment horizontal="center" vertical="center" wrapText="1"/>
    </xf>
    <xf numFmtId="0" fontId="32" fillId="8" borderId="16" xfId="0" applyFont="1" applyFill="1" applyBorder="1" applyAlignment="1">
      <alignment horizontal="left" vertical="center" wrapText="1"/>
    </xf>
    <xf numFmtId="0" fontId="32" fillId="8" borderId="23" xfId="0" applyFont="1" applyFill="1" applyBorder="1" applyAlignment="1">
      <alignment horizontal="left" vertical="center" wrapText="1"/>
    </xf>
    <xf numFmtId="0" fontId="32" fillId="8" borderId="17"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0" fontId="32" fillId="8" borderId="51" xfId="0" applyFont="1" applyFill="1" applyBorder="1" applyAlignment="1">
      <alignment horizontal="left" wrapText="1"/>
    </xf>
    <xf numFmtId="0" fontId="32" fillId="8" borderId="52" xfId="0" applyFont="1" applyFill="1" applyBorder="1" applyAlignment="1">
      <alignment horizontal="left" wrapText="1"/>
    </xf>
    <xf numFmtId="0" fontId="32" fillId="8" borderId="53" xfId="0" applyFont="1" applyFill="1" applyBorder="1" applyAlignment="1">
      <alignment horizontal="left" wrapText="1"/>
    </xf>
    <xf numFmtId="4" fontId="14" fillId="0" borderId="2" xfId="0" applyNumberFormat="1" applyFont="1" applyBorder="1" applyAlignment="1">
      <alignment horizontal="center"/>
    </xf>
    <xf numFmtId="4" fontId="14" fillId="0" borderId="45" xfId="0" applyNumberFormat="1" applyFont="1" applyBorder="1" applyAlignment="1">
      <alignment horizontal="center"/>
    </xf>
    <xf numFmtId="0" fontId="32" fillId="8" borderId="19" xfId="0" applyFont="1" applyFill="1" applyBorder="1" applyAlignment="1">
      <alignment horizontal="left" wrapText="1"/>
    </xf>
    <xf numFmtId="0" fontId="32" fillId="8" borderId="0" xfId="0" applyFont="1" applyFill="1" applyAlignment="1">
      <alignment horizontal="left" wrapText="1"/>
    </xf>
    <xf numFmtId="0" fontId="32" fillId="8" borderId="20" xfId="0" applyFont="1" applyFill="1" applyBorder="1" applyAlignment="1">
      <alignment horizontal="left" wrapText="1"/>
    </xf>
    <xf numFmtId="0" fontId="32" fillId="8" borderId="21" xfId="0" applyFont="1" applyFill="1" applyBorder="1" applyAlignment="1">
      <alignment horizontal="left" wrapText="1"/>
    </xf>
    <xf numFmtId="0" fontId="32" fillId="8" borderId="24" xfId="0" applyFont="1" applyFill="1" applyBorder="1" applyAlignment="1">
      <alignment horizontal="left" wrapText="1"/>
    </xf>
    <xf numFmtId="0" fontId="32" fillId="8" borderId="22" xfId="0" applyFont="1" applyFill="1" applyBorder="1" applyAlignment="1">
      <alignment horizontal="left" wrapText="1"/>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34"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Alignment="1">
      <alignment horizontal="center"/>
    </xf>
    <xf numFmtId="14" fontId="23" fillId="4" borderId="20" xfId="0" applyNumberFormat="1" applyFont="1" applyFill="1" applyBorder="1" applyAlignment="1">
      <alignment horizont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Alignment="1">
      <alignment horizontal="center" vertical="center"/>
    </xf>
    <xf numFmtId="0" fontId="10" fillId="4" borderId="20"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23" xfId="0" applyFont="1" applyFill="1" applyBorder="1" applyAlignment="1">
      <alignment horizontal="center" vertical="center" wrapText="1"/>
    </xf>
    <xf numFmtId="0" fontId="13" fillId="4" borderId="42"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4" fillId="0" borderId="0" xfId="0" applyFont="1" applyAlignment="1">
      <alignment horizontal="left" vertical="top"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14" fontId="23" fillId="4" borderId="22" xfId="0" applyNumberFormat="1" applyFont="1" applyFill="1" applyBorder="1" applyAlignment="1">
      <alignment horizontal="center" vertical="center"/>
    </xf>
    <xf numFmtId="14" fontId="14" fillId="3" borderId="0" xfId="0" applyNumberFormat="1" applyFont="1" applyFill="1" applyAlignment="1">
      <alignment horizontal="left" vertical="center" wrapText="1"/>
    </xf>
    <xf numFmtId="14" fontId="14" fillId="3" borderId="0" xfId="0" applyNumberFormat="1" applyFont="1" applyFill="1" applyAlignment="1">
      <alignment horizontal="left" vertical="top" wrapText="1"/>
    </xf>
    <xf numFmtId="14" fontId="13" fillId="3" borderId="0" xfId="0" applyNumberFormat="1" applyFont="1" applyFill="1" applyAlignment="1">
      <alignment horizontal="center" vertical="center"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Alignment="1">
      <alignment horizont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49" fontId="33" fillId="6" borderId="21" xfId="0" applyNumberFormat="1" applyFont="1" applyFill="1" applyBorder="1" applyAlignment="1">
      <alignment horizontal="center" vertical="center"/>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2" fillId="3" borderId="0" xfId="0" applyFont="1" applyFill="1" applyAlignment="1">
      <alignment horizontal="center"/>
    </xf>
    <xf numFmtId="0" fontId="14" fillId="3" borderId="0" xfId="0" applyFont="1" applyFill="1" applyAlignment="1">
      <alignment horizontal="left" vertical="center" wrapText="1"/>
    </xf>
    <xf numFmtId="14" fontId="33" fillId="6" borderId="58" xfId="0" applyNumberFormat="1" applyFont="1" applyFill="1" applyBorder="1" applyAlignment="1">
      <alignment horizontal="center" vertical="center"/>
    </xf>
    <xf numFmtId="14" fontId="32" fillId="6" borderId="51"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Alignment="1">
      <alignment horizontal="center" vertical="center"/>
    </xf>
    <xf numFmtId="0" fontId="23" fillId="4" borderId="19" xfId="0" applyFont="1" applyFill="1" applyBorder="1" applyAlignment="1">
      <alignment horizontal="center" vertical="center"/>
    </xf>
    <xf numFmtId="0" fontId="23" fillId="4" borderId="0" xfId="0" applyFont="1" applyFill="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32" fillId="6" borderId="19" xfId="0" applyNumberFormat="1" applyFont="1" applyFill="1" applyBorder="1" applyAlignment="1">
      <alignment horizontal="center" vertical="center"/>
    </xf>
    <xf numFmtId="14" fontId="32" fillId="6" borderId="0" xfId="0" applyNumberFormat="1" applyFont="1" applyFill="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4" fontId="77" fillId="0" borderId="3" xfId="0" applyNumberFormat="1" applyFont="1" applyBorder="1" applyAlignment="1">
      <alignment horizontal="center"/>
    </xf>
    <xf numFmtId="4" fontId="77" fillId="0" borderId="12" xfId="0" applyNumberFormat="1" applyFont="1" applyBorder="1" applyAlignment="1">
      <alignment horizontal="center"/>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92" fillId="4" borderId="16" xfId="0" applyFont="1" applyFill="1" applyBorder="1" applyAlignment="1">
      <alignment horizontal="left" vertical="top" wrapText="1"/>
    </xf>
    <xf numFmtId="0" fontId="92" fillId="4" borderId="23" xfId="0" applyFont="1" applyFill="1" applyBorder="1" applyAlignment="1">
      <alignment horizontal="left" vertical="top" wrapText="1"/>
    </xf>
    <xf numFmtId="0" fontId="92" fillId="4" borderId="17" xfId="0" applyFont="1" applyFill="1" applyBorder="1" applyAlignment="1">
      <alignment horizontal="left" vertical="top" wrapText="1"/>
    </xf>
    <xf numFmtId="0" fontId="92" fillId="4" borderId="21" xfId="0" applyFont="1" applyFill="1" applyBorder="1" applyAlignment="1">
      <alignment horizontal="left" vertical="top" wrapText="1"/>
    </xf>
    <xf numFmtId="0" fontId="92" fillId="4" borderId="24" xfId="0" applyFont="1" applyFill="1" applyBorder="1" applyAlignment="1">
      <alignment horizontal="left" vertical="top" wrapText="1"/>
    </xf>
    <xf numFmtId="0" fontId="92" fillId="4" borderId="22" xfId="0" applyFont="1" applyFill="1" applyBorder="1" applyAlignment="1">
      <alignment horizontal="left" vertical="top" wrapText="1"/>
    </xf>
    <xf numFmtId="0" fontId="92" fillId="4" borderId="51" xfId="0" applyFont="1" applyFill="1" applyBorder="1" applyAlignment="1">
      <alignment horizontal="left" vertical="top" wrapText="1"/>
    </xf>
    <xf numFmtId="0" fontId="92" fillId="4" borderId="52" xfId="0" applyFont="1" applyFill="1" applyBorder="1" applyAlignment="1">
      <alignment horizontal="left" vertical="top" wrapText="1"/>
    </xf>
    <xf numFmtId="0" fontId="92" fillId="4" borderId="53" xfId="0" applyFont="1" applyFill="1" applyBorder="1" applyAlignment="1">
      <alignment horizontal="left" vertical="top" wrapText="1"/>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24" xfId="0" applyNumberFormat="1" applyFont="1" applyBorder="1" applyAlignment="1">
      <alignment horizontal="center"/>
    </xf>
    <xf numFmtId="4" fontId="14" fillId="0" borderId="32"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78" xfId="0" applyNumberFormat="1" applyFont="1" applyBorder="1" applyAlignment="1">
      <alignment horizontal="center"/>
    </xf>
    <xf numFmtId="4" fontId="14" fillId="0" borderId="22" xfId="0" applyNumberFormat="1" applyFont="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2" fillId="0" borderId="0" xfId="0" applyFont="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8" xfId="0" applyNumberFormat="1" applyFont="1" applyBorder="1" applyAlignment="1">
      <alignment horizontal="center"/>
    </xf>
    <xf numFmtId="4" fontId="77" fillId="0" borderId="1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7" fillId="4" borderId="5"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vertical="top" wrapText="1"/>
    </xf>
    <xf numFmtId="0" fontId="73" fillId="4" borderId="23" xfId="0" applyFont="1" applyFill="1" applyBorder="1" applyAlignment="1">
      <alignment horizontal="center" vertical="top" wrapText="1"/>
    </xf>
    <xf numFmtId="0" fontId="73" fillId="4" borderId="17" xfId="0" applyFont="1" applyFill="1" applyBorder="1" applyAlignment="1">
      <alignment horizontal="center" vertical="top" wrapText="1"/>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4" fillId="4" borderId="9" xfId="0" applyFont="1" applyFill="1" applyBorder="1" applyAlignment="1">
      <alignment horizontal="center" vertical="center" wrapText="1"/>
    </xf>
    <xf numFmtId="0" fontId="74" fillId="4" borderId="10" xfId="0" applyFont="1" applyFill="1" applyBorder="1" applyAlignment="1">
      <alignment horizontal="center"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74" fillId="4" borderId="34" xfId="0" applyFont="1" applyFill="1" applyBorder="1" applyAlignment="1">
      <alignment horizontal="center"/>
    </xf>
    <xf numFmtId="0" fontId="74" fillId="4" borderId="2" xfId="0" applyFont="1" applyFill="1" applyBorder="1" applyAlignment="1">
      <alignment horizontal="center"/>
    </xf>
    <xf numFmtId="0" fontId="74" fillId="4" borderId="45" xfId="0" applyFont="1" applyFill="1" applyBorder="1" applyAlignment="1">
      <alignment horizontal="center"/>
    </xf>
    <xf numFmtId="0" fontId="73" fillId="4" borderId="16" xfId="0" applyFont="1" applyFill="1" applyBorder="1" applyAlignment="1">
      <alignment horizontal="center" wrapText="1"/>
    </xf>
    <xf numFmtId="0" fontId="73" fillId="4" borderId="23" xfId="0" applyFont="1" applyFill="1" applyBorder="1" applyAlignment="1">
      <alignment horizontal="center" wrapText="1"/>
    </xf>
    <xf numFmtId="0" fontId="73" fillId="4" borderId="17"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40"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16" fillId="4" borderId="31" xfId="0" applyFont="1" applyFill="1" applyBorder="1" applyAlignment="1">
      <alignment horizontal="center" vertical="center" wrapText="1"/>
    </xf>
    <xf numFmtId="0" fontId="16" fillId="4" borderId="77"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0" xfId="0" applyFont="1" applyFill="1" applyBorder="1" applyAlignment="1">
      <alignment horizontal="center" vertical="center" wrapText="1"/>
    </xf>
    <xf numFmtId="0" fontId="23" fillId="11" borderId="51" xfId="0" applyFont="1" applyFill="1" applyBorder="1" applyAlignment="1">
      <alignment horizontal="center" vertical="top" wrapText="1"/>
    </xf>
    <xf numFmtId="0" fontId="23" fillId="11" borderId="52" xfId="0" applyFont="1" applyFill="1" applyBorder="1" applyAlignment="1">
      <alignment horizontal="center" vertical="top" wrapText="1"/>
    </xf>
    <xf numFmtId="0" fontId="23" fillId="11" borderId="53" xfId="0" applyFont="1" applyFill="1" applyBorder="1" applyAlignment="1">
      <alignment horizontal="center" vertical="top" wrapText="1"/>
    </xf>
    <xf numFmtId="0" fontId="10" fillId="4" borderId="58" xfId="0" applyFont="1" applyFill="1" applyBorder="1" applyAlignment="1">
      <alignment horizontal="center" vertical="center"/>
    </xf>
    <xf numFmtId="0" fontId="10" fillId="4" borderId="63" xfId="0" applyFont="1" applyFill="1" applyBorder="1" applyAlignment="1">
      <alignment horizontal="center" vertical="center"/>
    </xf>
    <xf numFmtId="0" fontId="10" fillId="4" borderId="59" xfId="0" applyFont="1" applyFill="1" applyBorder="1" applyAlignment="1">
      <alignment horizontal="center" vertical="center"/>
    </xf>
    <xf numFmtId="0" fontId="77" fillId="3" borderId="0" xfId="0" applyFont="1" applyFill="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 fontId="77" fillId="0" borderId="39" xfId="0" applyNumberFormat="1" applyFont="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38" xfId="0" applyFont="1" applyFill="1" applyBorder="1" applyAlignment="1">
      <alignment horizontal="center" vertical="center" wrapText="1"/>
    </xf>
    <xf numFmtId="0" fontId="77" fillId="4" borderId="37"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0" fontId="77" fillId="4" borderId="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Border="1" applyAlignment="1">
      <alignment horizontal="center" wrapText="1" shrinkToFit="1"/>
    </xf>
    <xf numFmtId="0" fontId="16" fillId="0" borderId="52" xfId="0" applyFont="1" applyBorder="1" applyAlignment="1">
      <alignment horizontal="center" wrapText="1" shrinkToFit="1"/>
    </xf>
    <xf numFmtId="0" fontId="16" fillId="0" borderId="53" xfId="0" applyFont="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4" fontId="16" fillId="0" borderId="14" xfId="0" applyNumberFormat="1" applyFont="1" applyBorder="1" applyAlignment="1">
      <alignment horizontal="center"/>
    </xf>
    <xf numFmtId="4" fontId="16" fillId="0" borderId="15" xfId="0" applyNumberFormat="1" applyFont="1" applyBorder="1" applyAlignment="1">
      <alignment horizontal="center"/>
    </xf>
    <xf numFmtId="4" fontId="16" fillId="0" borderId="13" xfId="0" applyNumberFormat="1" applyFont="1" applyBorder="1" applyAlignment="1">
      <alignment horizont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23" xfId="0" applyFont="1" applyFill="1" applyBorder="1" applyAlignment="1">
      <alignment horizontal="center" vertic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91" fillId="4" borderId="21" xfId="709" applyFont="1" applyFill="1" applyBorder="1" applyAlignment="1">
      <alignment horizontal="center" vertical="center" wrapText="1"/>
    </xf>
    <xf numFmtId="0" fontId="91" fillId="4" borderId="24" xfId="709" applyFont="1" applyFill="1" applyBorder="1" applyAlignment="1">
      <alignment horizontal="center" vertical="center" wrapText="1"/>
    </xf>
    <xf numFmtId="0" fontId="91"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89" fillId="4" borderId="51" xfId="709" applyFont="1" applyFill="1" applyBorder="1" applyAlignment="1">
      <alignment horizontal="center" vertical="center"/>
    </xf>
    <xf numFmtId="0" fontId="89" fillId="4" borderId="52" xfId="709" applyFont="1" applyFill="1" applyBorder="1" applyAlignment="1">
      <alignment horizontal="center" vertical="center"/>
    </xf>
    <xf numFmtId="0" fontId="89"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Border="1" applyAlignment="1">
      <alignment horizontal="center"/>
    </xf>
    <xf numFmtId="0" fontId="39" fillId="0" borderId="24" xfId="709" applyBorder="1" applyAlignment="1">
      <alignment horizontal="center"/>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40" fillId="0" borderId="0" xfId="709" applyFont="1" applyAlignment="1">
      <alignment horizontal="center"/>
    </xf>
    <xf numFmtId="164" fontId="39" fillId="0" borderId="68" xfId="80" applyFont="1" applyBorder="1" applyAlignment="1">
      <alignment horizontal="center" vertical="center" wrapText="1"/>
    </xf>
    <xf numFmtId="164" fontId="39" fillId="0" borderId="43" xfId="80" applyFont="1" applyBorder="1" applyAlignment="1">
      <alignment horizontal="center" vertical="center" wrapTex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0" borderId="19"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4" borderId="27" xfId="0" applyFont="1" applyFill="1" applyBorder="1" applyAlignment="1">
      <alignment horizontal="left"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Alignment="1">
      <alignment horizontal="center" vertical="center" wrapText="1" shrinkToFit="1"/>
    </xf>
    <xf numFmtId="0" fontId="88" fillId="4" borderId="19" xfId="709" applyFont="1" applyFill="1" applyBorder="1" applyAlignment="1">
      <alignment horizontal="center" wrapText="1"/>
    </xf>
    <xf numFmtId="0" fontId="88" fillId="4" borderId="0" xfId="709" applyFont="1" applyFill="1" applyAlignment="1">
      <alignment horizontal="center" wrapText="1"/>
    </xf>
    <xf numFmtId="0" fontId="88" fillId="4" borderId="20" xfId="709" applyFont="1" applyFill="1" applyBorder="1" applyAlignment="1">
      <alignment horizontal="center" wrapText="1"/>
    </xf>
    <xf numFmtId="0" fontId="88" fillId="4" borderId="21" xfId="709" applyFont="1" applyFill="1" applyBorder="1" applyAlignment="1">
      <alignment horizontal="center" wrapText="1"/>
    </xf>
    <xf numFmtId="0" fontId="88" fillId="4" borderId="24" xfId="709" applyFont="1" applyFill="1" applyBorder="1" applyAlignment="1">
      <alignment horizontal="center" wrapText="1"/>
    </xf>
    <xf numFmtId="0" fontId="88" fillId="4" borderId="22" xfId="709" applyFont="1" applyFill="1" applyBorder="1" applyAlignment="1">
      <alignment horizont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6" fillId="4" borderId="19" xfId="0" applyFont="1" applyFill="1" applyBorder="1" applyAlignment="1">
      <alignment horizontal="center" vertical="center"/>
    </xf>
    <xf numFmtId="0" fontId="16" fillId="4" borderId="0" xfId="0" applyFont="1" applyFill="1" applyAlignment="1">
      <alignment horizontal="center" vertical="center"/>
    </xf>
    <xf numFmtId="0" fontId="16" fillId="4" borderId="20" xfId="0"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Alignment="1">
      <alignment horizontal="center"/>
    </xf>
    <xf numFmtId="0" fontId="16" fillId="4" borderId="20" xfId="0" applyFont="1" applyFill="1" applyBorder="1" applyAlignment="1">
      <alignment horizont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3" borderId="52" xfId="0" applyFont="1" applyFill="1" applyBorder="1" applyAlignment="1">
      <alignment horizontal="center" vertical="center"/>
    </xf>
    <xf numFmtId="0" fontId="17" fillId="4" borderId="21" xfId="0" applyFont="1" applyFill="1" applyBorder="1" applyAlignment="1">
      <alignment horizontal="center" vertical="center"/>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4" borderId="51" xfId="773" applyNumberFormat="1" applyFont="1" applyFill="1" applyBorder="1" applyAlignment="1">
      <alignment horizontal="center" vertical="center"/>
    </xf>
    <xf numFmtId="4" fontId="39" fillId="4" borderId="53" xfId="773" applyNumberFormat="1" applyFont="1" applyFill="1" applyBorder="1" applyAlignment="1">
      <alignment horizontal="center" vertical="center"/>
    </xf>
    <xf numFmtId="4" fontId="39" fillId="0" borderId="51" xfId="773" applyNumberFormat="1" applyFont="1" applyFill="1" applyBorder="1" applyAlignment="1">
      <alignment horizontal="center" vertical="center" wrapText="1"/>
    </xf>
    <xf numFmtId="4" fontId="39" fillId="0" borderId="53" xfId="773" applyNumberFormat="1" applyFont="1" applyFill="1" applyBorder="1" applyAlignment="1">
      <alignment horizontal="center" vertical="center" wrapText="1"/>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20"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0" fillId="0" borderId="0" xfId="0" applyNumberFormat="1" applyFont="1" applyAlignment="1">
      <alignment horizontal="center"/>
    </xf>
    <xf numFmtId="0" fontId="14" fillId="3" borderId="44" xfId="0" applyFont="1" applyFill="1" applyBorder="1" applyAlignment="1">
      <alignment horizontal="left"/>
    </xf>
    <xf numFmtId="0" fontId="14" fillId="3" borderId="47" xfId="0" applyFont="1" applyFill="1" applyBorder="1" applyAlignment="1">
      <alignment horizontal="left"/>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2" fillId="3" borderId="0" xfId="0" applyFont="1" applyFill="1" applyAlignment="1">
      <alignment horizontal="left" vertical="center" wrapText="1"/>
    </xf>
    <xf numFmtId="0" fontId="13" fillId="4" borderId="52"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4" borderId="42" xfId="0" applyFont="1" applyFill="1" applyBorder="1" applyAlignment="1">
      <alignment horizontal="center" vertical="center"/>
    </xf>
    <xf numFmtId="0" fontId="14" fillId="4" borderId="43" xfId="0" applyFont="1" applyFill="1" applyBorder="1" applyAlignment="1">
      <alignment horizontal="center" vertical="center"/>
    </xf>
    <xf numFmtId="0" fontId="21" fillId="0" borderId="0" xfId="0" applyFont="1" applyAlignment="1">
      <alignment horizontal="center" vertical="center" wrapText="1"/>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14" fillId="3" borderId="19" xfId="0" applyFont="1" applyFill="1" applyBorder="1" applyAlignment="1">
      <alignment horizontal="center" vertical="center" wrapText="1"/>
    </xf>
    <xf numFmtId="0" fontId="14" fillId="3" borderId="0" xfId="0" applyFont="1" applyFill="1" applyAlignment="1">
      <alignment horizontal="center" vertical="center" wrapText="1"/>
    </xf>
    <xf numFmtId="0" fontId="20"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164" fontId="14" fillId="0" borderId="41" xfId="80" applyFont="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8" fillId="3" borderId="19" xfId="0" applyFont="1" applyFill="1" applyBorder="1" applyAlignment="1">
      <alignment horizontal="left" vertical="center"/>
    </xf>
    <xf numFmtId="0" fontId="18" fillId="3" borderId="0" xfId="0" applyFont="1" applyFill="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14" fillId="4" borderId="6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Alignment="1">
      <alignment horizontal="center" wrapText="1"/>
    </xf>
    <xf numFmtId="14" fontId="18" fillId="3" borderId="0" xfId="0" applyNumberFormat="1" applyFont="1" applyFill="1" applyBorder="1" applyAlignment="1">
      <alignment horizontal="center"/>
    </xf>
    <xf numFmtId="166" fontId="18" fillId="3" borderId="0" xfId="0" applyNumberFormat="1" applyFont="1" applyFill="1" applyBorder="1" applyAlignment="1">
      <alignment horizontal="center"/>
    </xf>
    <xf numFmtId="14" fontId="12" fillId="0" borderId="0" xfId="0" applyNumberFormat="1" applyFont="1" applyBorder="1" applyAlignment="1">
      <alignment horizontal="center"/>
    </xf>
    <xf numFmtId="0" fontId="12" fillId="0" borderId="0" xfId="0" applyFont="1" applyBorder="1"/>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2" fontId="12" fillId="4" borderId="53" xfId="0" applyNumberFormat="1" applyFont="1" applyFill="1" applyBorder="1" applyAlignment="1">
      <alignment horizontal="center" vertical="center"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15</xdr:row>
      <xdr:rowOff>38100</xdr:rowOff>
    </xdr:from>
    <xdr:to>
      <xdr:col>4</xdr:col>
      <xdr:colOff>1066799</xdr:colOff>
      <xdr:row>15</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13</xdr:row>
      <xdr:rowOff>103860</xdr:rowOff>
    </xdr:from>
    <xdr:to>
      <xdr:col>8</xdr:col>
      <xdr:colOff>215900</xdr:colOff>
      <xdr:row>14</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tabSelected="1" zoomScale="125" workbookViewId="0">
      <selection activeCell="A12" sqref="A12:I12"/>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04"/>
      <c r="B1" s="1004"/>
      <c r="C1" s="1004"/>
      <c r="D1" s="1004"/>
      <c r="E1" s="1004"/>
      <c r="F1" s="1004"/>
      <c r="G1" s="1004"/>
      <c r="H1" s="1004"/>
      <c r="I1" s="1004"/>
    </row>
    <row r="2" spans="1:21" ht="30" customHeight="1">
      <c r="A2" s="1005"/>
      <c r="B2" s="1005"/>
      <c r="C2" s="1005"/>
      <c r="D2" s="1005"/>
      <c r="E2" s="1005"/>
      <c r="F2" s="1005"/>
      <c r="G2" s="1005"/>
      <c r="H2" s="1005"/>
      <c r="I2" s="1005"/>
    </row>
    <row r="3" spans="1:21" ht="37" customHeight="1">
      <c r="A3" s="1004" t="s">
        <v>82</v>
      </c>
      <c r="B3" s="1004"/>
      <c r="C3" s="1004"/>
      <c r="D3" s="1004"/>
      <c r="E3" s="1004"/>
      <c r="F3" s="1004"/>
      <c r="G3" s="1004"/>
      <c r="H3" s="1004"/>
      <c r="I3" s="1004"/>
      <c r="M3" s="1002"/>
      <c r="N3" s="1003"/>
      <c r="O3" s="1003"/>
      <c r="P3" s="1003"/>
      <c r="Q3" s="1003"/>
      <c r="R3" s="1003"/>
      <c r="S3" s="1003"/>
      <c r="T3" s="1003"/>
      <c r="U3" s="1003"/>
    </row>
    <row r="4" spans="1:21" ht="26" customHeight="1">
      <c r="A4" s="1004" t="s">
        <v>422</v>
      </c>
      <c r="B4" s="1004"/>
      <c r="C4" s="1004"/>
      <c r="D4" s="1004"/>
      <c r="E4" s="1004"/>
      <c r="F4" s="1004"/>
      <c r="G4" s="1004"/>
      <c r="H4" s="1004"/>
      <c r="I4" s="1004"/>
    </row>
    <row r="5" spans="1:21" s="31" customFormat="1" ht="14" customHeight="1">
      <c r="A5" s="1005"/>
      <c r="B5" s="1005"/>
      <c r="C5" s="1005"/>
      <c r="D5" s="1005"/>
      <c r="E5" s="1005"/>
      <c r="F5" s="1005"/>
      <c r="G5" s="1005"/>
      <c r="H5" s="1005"/>
      <c r="I5" s="1005"/>
    </row>
    <row r="6" spans="1:21" s="31" customFormat="1" ht="21" customHeight="1">
      <c r="A6" s="996" t="s">
        <v>544</v>
      </c>
      <c r="B6" s="996"/>
      <c r="C6" s="996"/>
      <c r="D6" s="996"/>
      <c r="E6" s="996"/>
      <c r="F6" s="996"/>
      <c r="G6" s="996"/>
      <c r="H6" s="996"/>
      <c r="I6" s="996"/>
    </row>
    <row r="7" spans="1:21" s="31" customFormat="1" ht="36.75" customHeight="1">
      <c r="A7" s="998" t="s">
        <v>545</v>
      </c>
      <c r="B7" s="998"/>
      <c r="C7" s="998"/>
      <c r="D7" s="998"/>
      <c r="E7" s="998"/>
      <c r="F7" s="998"/>
      <c r="G7" s="998"/>
      <c r="H7" s="998"/>
      <c r="I7" s="998"/>
    </row>
    <row r="8" spans="1:21" ht="18" customHeight="1">
      <c r="A8" s="993" t="s">
        <v>546</v>
      </c>
      <c r="B8" s="993"/>
      <c r="C8" s="993"/>
      <c r="D8" s="993"/>
      <c r="E8" s="993"/>
      <c r="F8" s="993"/>
      <c r="G8" s="993"/>
      <c r="H8" s="993"/>
      <c r="I8" s="993"/>
    </row>
    <row r="9" spans="1:21" ht="18" customHeight="1">
      <c r="A9" s="993"/>
      <c r="B9" s="993"/>
      <c r="C9" s="993"/>
      <c r="D9" s="993"/>
      <c r="E9" s="993"/>
      <c r="F9" s="993"/>
      <c r="G9" s="993"/>
      <c r="H9" s="993"/>
      <c r="I9" s="993"/>
    </row>
    <row r="10" spans="1:21" ht="18" customHeight="1">
      <c r="A10" s="1001" t="s">
        <v>472</v>
      </c>
      <c r="B10" s="1001"/>
      <c r="C10" s="1001"/>
      <c r="D10" s="1001"/>
      <c r="E10" s="1001"/>
      <c r="F10" s="1001"/>
      <c r="G10" s="1001"/>
      <c r="H10" s="1001"/>
      <c r="I10" s="1001"/>
    </row>
    <row r="11" spans="1:21" ht="18" customHeight="1">
      <c r="A11" s="1000" t="s">
        <v>547</v>
      </c>
      <c r="B11" s="1000"/>
      <c r="C11" s="1000"/>
      <c r="D11" s="1000"/>
      <c r="E11" s="1000"/>
      <c r="F11" s="1000"/>
      <c r="G11" s="1000"/>
      <c r="H11" s="1000"/>
      <c r="I11" s="1000"/>
    </row>
    <row r="12" spans="1:21" ht="24" customHeight="1">
      <c r="A12" s="999"/>
      <c r="B12" s="999"/>
      <c r="C12" s="999"/>
      <c r="D12" s="999"/>
      <c r="E12" s="999"/>
      <c r="F12" s="999"/>
      <c r="G12" s="999"/>
      <c r="H12" s="999"/>
      <c r="I12" s="999"/>
    </row>
    <row r="13" spans="1:21" ht="21" customHeight="1">
      <c r="A13" s="724"/>
      <c r="B13" s="724"/>
      <c r="C13" s="724"/>
      <c r="D13" s="724"/>
      <c r="E13" s="724"/>
      <c r="F13" s="724"/>
      <c r="G13" s="724"/>
      <c r="H13" s="724"/>
      <c r="I13" s="724"/>
    </row>
    <row r="14" spans="1:21" ht="51" customHeight="1">
      <c r="A14" s="997" t="s">
        <v>85</v>
      </c>
      <c r="B14" s="997"/>
      <c r="C14" s="997"/>
      <c r="D14" s="997"/>
      <c r="E14" s="32"/>
      <c r="F14" s="994" t="s">
        <v>336</v>
      </c>
      <c r="G14" s="994"/>
      <c r="H14" s="994"/>
      <c r="I14" s="994"/>
    </row>
    <row r="15" spans="1:21" ht="51" customHeight="1">
      <c r="A15" s="997" t="s">
        <v>83</v>
      </c>
      <c r="B15" s="997"/>
      <c r="C15" s="997"/>
      <c r="D15" s="997"/>
      <c r="E15" s="32"/>
      <c r="F15" s="995" t="s">
        <v>337</v>
      </c>
      <c r="G15" s="995"/>
      <c r="H15" s="995"/>
      <c r="I15" s="995"/>
    </row>
    <row r="16" spans="1:21" ht="48" customHeight="1">
      <c r="A16" s="997" t="s">
        <v>330</v>
      </c>
      <c r="B16" s="997"/>
      <c r="C16" s="997"/>
      <c r="D16" s="997"/>
      <c r="E16" s="1010"/>
      <c r="F16" s="995" t="s">
        <v>416</v>
      </c>
      <c r="G16" s="995"/>
      <c r="H16" s="995"/>
      <c r="I16" s="995"/>
    </row>
    <row r="17" spans="1:9" ht="2" hidden="1" customHeight="1">
      <c r="A17" s="997"/>
      <c r="B17" s="997"/>
      <c r="C17" s="997"/>
      <c r="D17" s="997"/>
      <c r="E17" s="1010"/>
      <c r="F17" s="995" t="s">
        <v>477</v>
      </c>
      <c r="G17" s="995"/>
      <c r="H17" s="995"/>
      <c r="I17" s="995"/>
    </row>
    <row r="18" spans="1:9" ht="13" hidden="1" customHeight="1">
      <c r="A18" s="997"/>
      <c r="B18" s="997"/>
      <c r="C18" s="997"/>
      <c r="D18" s="997"/>
      <c r="E18" s="1010"/>
      <c r="F18" s="995"/>
      <c r="G18" s="995"/>
      <c r="H18" s="995"/>
      <c r="I18" s="995"/>
    </row>
    <row r="19" spans="1:9" ht="50" customHeight="1">
      <c r="A19" s="1011" t="s">
        <v>84</v>
      </c>
      <c r="B19" s="1011"/>
      <c r="C19" s="38"/>
      <c r="D19" s="38"/>
      <c r="E19" s="1010"/>
      <c r="F19" s="995"/>
      <c r="G19" s="995"/>
      <c r="H19" s="995"/>
      <c r="I19" s="995"/>
    </row>
    <row r="20" spans="1:9" ht="2" hidden="1" customHeight="1">
      <c r="A20" s="1011"/>
      <c r="B20" s="1011"/>
      <c r="C20" s="38"/>
      <c r="D20" s="38"/>
      <c r="E20" s="1010"/>
      <c r="F20" s="995"/>
      <c r="G20" s="995"/>
      <c r="H20" s="995"/>
      <c r="I20" s="995"/>
    </row>
    <row r="21" spans="1:9" ht="10" hidden="1" customHeight="1">
      <c r="A21" s="1011"/>
      <c r="B21" s="1011"/>
      <c r="C21" s="38"/>
      <c r="D21" s="38"/>
      <c r="E21" s="1010"/>
      <c r="F21" s="995"/>
      <c r="G21" s="995"/>
      <c r="H21" s="995"/>
      <c r="I21" s="995"/>
    </row>
    <row r="22" spans="1:9" ht="1" hidden="1" customHeight="1">
      <c r="A22" s="1011"/>
      <c r="B22" s="1011"/>
      <c r="C22" s="38"/>
      <c r="D22" s="38"/>
      <c r="E22" s="1010"/>
      <c r="F22" s="995" t="s">
        <v>338</v>
      </c>
      <c r="G22" s="995"/>
      <c r="H22" s="995"/>
      <c r="I22" s="995"/>
    </row>
    <row r="23" spans="1:9" ht="51" customHeight="1">
      <c r="A23" s="881" t="s">
        <v>479</v>
      </c>
      <c r="B23" s="881"/>
      <c r="C23" s="881"/>
      <c r="D23" s="881"/>
      <c r="E23" s="881"/>
      <c r="F23" s="995" t="s">
        <v>478</v>
      </c>
      <c r="G23" s="995"/>
      <c r="H23" s="995"/>
      <c r="I23" s="995"/>
    </row>
    <row r="24" spans="1:9" ht="15" customHeight="1">
      <c r="A24" s="879"/>
      <c r="B24" s="879"/>
      <c r="C24" s="879"/>
      <c r="D24" s="879"/>
      <c r="E24" s="879"/>
    </row>
    <row r="25" spans="1:9" ht="46" customHeight="1">
      <c r="A25" s="1012" t="s">
        <v>130</v>
      </c>
      <c r="B25" s="1012"/>
      <c r="C25" s="1012"/>
      <c r="D25" s="1012"/>
      <c r="E25" s="1012"/>
      <c r="F25" s="1012"/>
      <c r="G25" s="1012"/>
      <c r="H25" s="1012"/>
      <c r="I25" s="1012"/>
    </row>
    <row r="26" spans="1:9" ht="46" customHeight="1">
      <c r="A26" s="591"/>
      <c r="B26" s="591"/>
      <c r="C26" s="591"/>
      <c r="D26" s="591"/>
      <c r="E26" s="591"/>
      <c r="F26" s="880"/>
      <c r="G26" s="880"/>
      <c r="H26" s="880"/>
      <c r="I26" s="880"/>
    </row>
    <row r="27" spans="1:9" ht="85" customHeight="1">
      <c r="A27" s="1005"/>
      <c r="B27" s="1005"/>
      <c r="C27" s="1005"/>
      <c r="D27" s="1005"/>
      <c r="E27" s="15"/>
    </row>
    <row r="28" spans="1:9" ht="13" customHeight="1">
      <c r="B28" s="1009"/>
      <c r="C28" s="1009"/>
      <c r="D28" s="1009"/>
      <c r="E28" s="15"/>
    </row>
    <row r="29" spans="1:9">
      <c r="A29" s="35"/>
      <c r="B29" s="14"/>
      <c r="C29" s="14"/>
      <c r="D29" s="14"/>
      <c r="E29" s="14"/>
    </row>
    <row r="30" spans="1:9">
      <c r="A30" s="1005"/>
      <c r="B30" s="1005"/>
      <c r="C30" s="1005"/>
      <c r="D30" s="1005"/>
      <c r="E30" s="15"/>
      <c r="F30" s="590"/>
      <c r="G30" s="590"/>
      <c r="H30" s="590"/>
      <c r="I30" s="590"/>
    </row>
    <row r="31" spans="1:9">
      <c r="A31" s="590"/>
      <c r="B31" s="590"/>
      <c r="C31" s="590"/>
      <c r="D31" s="590"/>
      <c r="E31" s="590"/>
    </row>
    <row r="32" spans="1:9">
      <c r="A32" s="1005"/>
      <c r="B32" s="1005"/>
      <c r="C32" s="1005"/>
      <c r="D32" s="1005"/>
      <c r="E32" s="15"/>
    </row>
    <row r="33" spans="1:9">
      <c r="A33" s="1005"/>
      <c r="B33" s="1005"/>
      <c r="C33" s="1005"/>
      <c r="D33" s="1005"/>
      <c r="E33" s="15"/>
      <c r="H33" s="1005"/>
      <c r="I33" s="1005"/>
    </row>
    <row r="34" spans="1:9">
      <c r="A34" s="1005"/>
      <c r="B34" s="1005"/>
      <c r="C34" s="1005"/>
      <c r="D34" s="1005"/>
      <c r="E34" s="15"/>
      <c r="H34" s="1005"/>
      <c r="I34" s="1005"/>
    </row>
    <row r="35" spans="1:9">
      <c r="A35" s="1005"/>
      <c r="B35" s="1005"/>
      <c r="C35" s="1005"/>
      <c r="D35" s="1005"/>
      <c r="E35" s="15"/>
      <c r="H35" s="1005"/>
      <c r="I35" s="1005"/>
    </row>
    <row r="36" spans="1:9">
      <c r="A36" s="1005"/>
      <c r="B36" s="1005"/>
      <c r="C36" s="1005"/>
      <c r="D36" s="1005"/>
      <c r="E36" s="15"/>
      <c r="H36" s="1005"/>
      <c r="I36" s="1005"/>
    </row>
    <row r="37" spans="1:9">
      <c r="A37" s="1005"/>
      <c r="B37" s="1005"/>
      <c r="C37" s="1005"/>
      <c r="D37" s="1005"/>
      <c r="E37" s="15"/>
      <c r="H37" s="1005"/>
      <c r="I37" s="1005"/>
    </row>
    <row r="38" spans="1:9">
      <c r="A38" s="1005"/>
      <c r="B38" s="1005"/>
      <c r="C38" s="1005"/>
      <c r="D38" s="1005"/>
      <c r="E38" s="15"/>
      <c r="H38" s="1005"/>
      <c r="I38" s="1005"/>
    </row>
    <row r="39" spans="1:9">
      <c r="A39" s="1005"/>
      <c r="B39" s="1005"/>
      <c r="C39" s="1005"/>
      <c r="D39" s="1005"/>
      <c r="E39" s="15"/>
      <c r="H39" s="1005"/>
      <c r="I39" s="1005"/>
    </row>
    <row r="40" spans="1:9">
      <c r="A40" s="35"/>
      <c r="B40" s="15"/>
      <c r="C40" s="15"/>
      <c r="D40" s="15"/>
      <c r="E40" s="15"/>
      <c r="H40" s="1005"/>
      <c r="I40" s="1005"/>
    </row>
    <row r="41" spans="1:9" ht="18">
      <c r="A41" s="38"/>
      <c r="B41" s="1009"/>
      <c r="C41" s="1009"/>
      <c r="D41" s="1009"/>
      <c r="E41" s="36"/>
      <c r="H41" s="1005"/>
      <c r="I41" s="1005"/>
    </row>
    <row r="42" spans="1:9">
      <c r="A42" s="35"/>
      <c r="B42" s="14"/>
      <c r="C42" s="14"/>
      <c r="D42" s="14"/>
      <c r="E42" s="14"/>
      <c r="H42" s="1005"/>
      <c r="I42" s="1005"/>
    </row>
    <row r="43" spans="1:9" ht="16">
      <c r="A43" s="1008"/>
      <c r="B43" s="1008"/>
      <c r="C43" s="1008"/>
      <c r="D43" s="1008"/>
      <c r="E43" s="33"/>
    </row>
    <row r="44" spans="1:9" ht="18">
      <c r="A44" s="1007"/>
      <c r="B44" s="1007"/>
      <c r="C44" s="1007"/>
      <c r="D44" s="1007"/>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1006"/>
    </row>
    <row r="57" spans="1:9">
      <c r="I57" s="1006"/>
    </row>
    <row r="58" spans="1:9">
      <c r="I58" s="1006"/>
    </row>
  </sheetData>
  <sheetProtection sheet="1" objects="1" scenarios="1"/>
  <mergeCells count="52">
    <mergeCell ref="A27:D27"/>
    <mergeCell ref="F16:I16"/>
    <mergeCell ref="A9:I9"/>
    <mergeCell ref="F23:I23"/>
    <mergeCell ref="F22:I22"/>
    <mergeCell ref="F17:I19"/>
    <mergeCell ref="F20:I21"/>
    <mergeCell ref="A15:D15"/>
    <mergeCell ref="A16:D18"/>
    <mergeCell ref="E16:E18"/>
    <mergeCell ref="A19:B22"/>
    <mergeCell ref="E19:E22"/>
    <mergeCell ref="A25:I25"/>
    <mergeCell ref="H40:I40"/>
    <mergeCell ref="H41:I41"/>
    <mergeCell ref="B28:D28"/>
    <mergeCell ref="H33:I33"/>
    <mergeCell ref="H34:I34"/>
    <mergeCell ref="H37:I37"/>
    <mergeCell ref="H38:I38"/>
    <mergeCell ref="H39:I39"/>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M3:U3"/>
    <mergeCell ref="A1:I1"/>
    <mergeCell ref="A4:I4"/>
    <mergeCell ref="A3:I3"/>
    <mergeCell ref="A5:I5"/>
    <mergeCell ref="A2:I2"/>
    <mergeCell ref="A8:I8"/>
    <mergeCell ref="F14:I14"/>
    <mergeCell ref="F15:I15"/>
    <mergeCell ref="A6:I6"/>
    <mergeCell ref="A14:D14"/>
    <mergeCell ref="A7:I7"/>
    <mergeCell ref="A12:I12"/>
    <mergeCell ref="A11:I11"/>
    <mergeCell ref="A10:I10"/>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12" customWidth="1"/>
    <col min="8" max="8" width="14" style="212" customWidth="1"/>
    <col min="9" max="10" width="12.6640625" style="212" customWidth="1"/>
    <col min="11" max="11" width="8.83203125" style="212"/>
    <col min="12" max="12" width="11.33203125" style="212" bestFit="1" customWidth="1"/>
    <col min="13" max="16384" width="8.83203125" style="212"/>
  </cols>
  <sheetData>
    <row r="1" spans="1:14" ht="20">
      <c r="A1" s="1185" t="s">
        <v>19</v>
      </c>
      <c r="B1" s="1186"/>
      <c r="C1" s="1186"/>
      <c r="D1" s="1186"/>
      <c r="E1" s="1186"/>
      <c r="F1" s="1186"/>
      <c r="G1" s="1186"/>
      <c r="H1" s="1186"/>
      <c r="I1" s="1187"/>
    </row>
    <row r="2" spans="1:14" ht="39" customHeight="1">
      <c r="A2" s="1728" t="s">
        <v>190</v>
      </c>
      <c r="B2" s="1729"/>
      <c r="C2" s="1729"/>
      <c r="D2" s="1729"/>
      <c r="E2" s="1729"/>
      <c r="F2" s="1729"/>
      <c r="G2" s="1729"/>
      <c r="H2" s="1729"/>
      <c r="I2" s="1730"/>
    </row>
    <row r="3" spans="1:14" ht="20">
      <c r="A3" s="1196" t="str">
        <f>'Forside 1'!A6:I6</f>
        <v>Gældende fra 1. oktober 2023</v>
      </c>
      <c r="B3" s="1197"/>
      <c r="C3" s="1197"/>
      <c r="D3" s="1197"/>
      <c r="E3" s="1197"/>
      <c r="F3" s="1197"/>
      <c r="G3" s="1197"/>
      <c r="H3" s="1197"/>
      <c r="I3" s="1198"/>
    </row>
    <row r="4" spans="1:14" ht="34" customHeight="1" thickBot="1">
      <c r="A4" s="1824" t="s">
        <v>331</v>
      </c>
      <c r="B4" s="1825"/>
      <c r="C4" s="1825"/>
      <c r="D4" s="1825"/>
      <c r="E4" s="1825"/>
      <c r="F4" s="1825"/>
      <c r="G4" s="1825"/>
      <c r="H4" s="1825"/>
      <c r="I4" s="1826"/>
    </row>
    <row r="5" spans="1:14" ht="14">
      <c r="A5" s="228"/>
      <c r="B5" s="228"/>
      <c r="C5" s="228"/>
      <c r="D5" s="228"/>
      <c r="E5" s="228"/>
      <c r="F5" s="228"/>
      <c r="G5" s="228"/>
      <c r="H5" s="228"/>
      <c r="I5" s="228"/>
      <c r="J5" s="228"/>
    </row>
    <row r="6" spans="1:14" ht="15" thickBot="1">
      <c r="A6" s="228"/>
      <c r="B6" s="228"/>
      <c r="C6" s="228"/>
      <c r="D6" s="228"/>
      <c r="E6" s="228"/>
      <c r="F6" s="228"/>
      <c r="G6" s="228"/>
      <c r="H6" s="228"/>
      <c r="I6" s="228"/>
      <c r="J6" s="228"/>
    </row>
    <row r="7" spans="1:14" s="238" customFormat="1" ht="19" thickBot="1">
      <c r="A7" s="1702" t="s">
        <v>306</v>
      </c>
      <c r="B7" s="1703"/>
      <c r="C7" s="1703"/>
      <c r="D7" s="1703"/>
      <c r="E7" s="1703"/>
      <c r="F7" s="1704"/>
      <c r="G7" s="1702" t="s">
        <v>168</v>
      </c>
      <c r="H7" s="1703"/>
      <c r="I7" s="1704"/>
      <c r="J7" s="695"/>
    </row>
    <row r="8" spans="1:14" s="238" customFormat="1" ht="15">
      <c r="A8" s="513" t="s">
        <v>57</v>
      </c>
      <c r="B8" s="514" t="s">
        <v>75</v>
      </c>
      <c r="C8" s="514" t="s">
        <v>76</v>
      </c>
      <c r="D8" s="514" t="s">
        <v>77</v>
      </c>
      <c r="E8" s="514" t="s">
        <v>78</v>
      </c>
      <c r="F8" s="514" t="s">
        <v>79</v>
      </c>
      <c r="G8" s="1818" t="s">
        <v>421</v>
      </c>
      <c r="H8" s="1819"/>
      <c r="I8" s="696">
        <v>0.14000000000000001</v>
      </c>
    </row>
    <row r="9" spans="1:14" s="238" customFormat="1" ht="14" customHeight="1">
      <c r="A9" s="276" t="s">
        <v>230</v>
      </c>
      <c r="B9" s="472" t="e">
        <f>'Statens skalatrin'!D46+('3f (DFF, DPS, LS, DSSV)'!#REF!/12)</f>
        <v>#REF!</v>
      </c>
      <c r="C9" s="472" t="e">
        <f>'Statens skalatrin'!F46+('3f (DFF, DPS, LS, DSSV)'!#REF!/12)</f>
        <v>#REF!</v>
      </c>
      <c r="D9" s="472" t="e">
        <f>'Statens skalatrin'!H46+('3f (DFF, DPS, LS, DSSV)'!#REF!/12)</f>
        <v>#REF!</v>
      </c>
      <c r="E9" s="472" t="e">
        <f>'Statens skalatrin'!J46+('3f (DFF, DPS, LS, DSSV)'!#REF!/12)</f>
        <v>#REF!</v>
      </c>
      <c r="F9" s="472" t="e">
        <f>'Statens skalatrin'!L46+('3f (DFF, DPS, LS, DSSV)'!#REF!/12)</f>
        <v>#REF!</v>
      </c>
      <c r="G9" s="1820">
        <f>'Statens skalatrin'!O46</f>
        <v>20557.32</v>
      </c>
      <c r="H9" s="1821"/>
      <c r="I9" s="342">
        <f>G9*$I$8</f>
        <v>2878.0248000000001</v>
      </c>
      <c r="J9" s="241"/>
      <c r="K9" s="237"/>
    </row>
    <row r="10" spans="1:14" s="238" customFormat="1" ht="15" customHeight="1">
      <c r="A10" s="276">
        <v>17</v>
      </c>
      <c r="B10" s="472">
        <f>'Statens skalatrin'!D55</f>
        <v>23087.83</v>
      </c>
      <c r="C10" s="472">
        <f>'Statens skalatrin'!F55</f>
        <v>23581.33</v>
      </c>
      <c r="D10" s="472">
        <f>'Statens skalatrin'!H55</f>
        <v>23923</v>
      </c>
      <c r="E10" s="472">
        <f>'Statens skalatrin'!J55</f>
        <v>24416.42</v>
      </c>
      <c r="F10" s="472">
        <f>'Statens skalatrin'!L55</f>
        <v>24757.919999999998</v>
      </c>
      <c r="G10" s="1820">
        <f>'Statens skalatrin'!O55</f>
        <v>21684.14</v>
      </c>
      <c r="H10" s="1821"/>
      <c r="I10" s="342">
        <f>G10*$I$8</f>
        <v>3035.7796000000003</v>
      </c>
      <c r="J10" s="241"/>
      <c r="K10" s="237"/>
    </row>
    <row r="11" spans="1:14" s="238" customFormat="1" ht="15" customHeight="1" thickBot="1">
      <c r="A11" s="277" t="s">
        <v>169</v>
      </c>
      <c r="B11" s="473" t="e">
        <f>'Statens skalatrin'!D64+('3f (DFF, DPS, LS, DSSV)'!#REF!/12)</f>
        <v>#REF!</v>
      </c>
      <c r="C11" s="473" t="e">
        <f>'Statens skalatrin'!F64+('3f (DFF, DPS, LS, DSSV)'!#REF!/12)</f>
        <v>#REF!</v>
      </c>
      <c r="D11" s="473" t="e">
        <f>'Statens skalatrin'!H64+('3f (DFF, DPS, LS, DSSV)'!#REF!/12)</f>
        <v>#REF!</v>
      </c>
      <c r="E11" s="473" t="e">
        <f>'Statens skalatrin'!J64+('3f (DFF, DPS, LS, DSSV)'!#REF!/12)</f>
        <v>#REF!</v>
      </c>
      <c r="F11" s="473" t="e">
        <f>'Statens skalatrin'!L64+('3f (DFF, DPS, LS, DSSV)'!#REF!/12)</f>
        <v>#REF!</v>
      </c>
      <c r="G11" s="1822">
        <f>'Statens skalatrin'!O64</f>
        <v>22906.66</v>
      </c>
      <c r="H11" s="1823"/>
      <c r="I11" s="343">
        <f>G11*$I$8</f>
        <v>3206.9324000000001</v>
      </c>
      <c r="J11" s="241"/>
      <c r="K11" s="237"/>
      <c r="N11" s="240"/>
    </row>
    <row r="12" spans="1:14" s="238" customFormat="1" ht="14">
      <c r="B12" s="239"/>
      <c r="C12" s="239"/>
      <c r="D12" s="239"/>
      <c r="E12" s="239"/>
      <c r="F12" s="239"/>
    </row>
    <row r="13" spans="1:14" s="238" customFormat="1" ht="15" thickBot="1">
      <c r="B13" s="239"/>
      <c r="C13" s="239"/>
      <c r="D13" s="239"/>
      <c r="E13" s="239"/>
      <c r="F13" s="239"/>
    </row>
    <row r="14" spans="1:14" s="238" customFormat="1" ht="19" thickBot="1">
      <c r="A14" s="1702" t="s">
        <v>307</v>
      </c>
      <c r="B14" s="1703"/>
      <c r="C14" s="1703"/>
      <c r="D14" s="1703"/>
      <c r="E14" s="1703"/>
      <c r="F14" s="1704"/>
    </row>
    <row r="15" spans="1:14" s="238" customFormat="1" ht="15" customHeight="1" thickBot="1">
      <c r="A15" s="1808" t="s">
        <v>171</v>
      </c>
      <c r="B15" s="1809"/>
      <c r="C15" s="1809"/>
      <c r="D15" s="1809"/>
      <c r="E15" s="1809"/>
      <c r="F15" s="1810"/>
    </row>
    <row r="16" spans="1:14" s="238" customFormat="1" ht="16" customHeight="1">
      <c r="A16" s="435" t="s">
        <v>57</v>
      </c>
      <c r="B16" s="436" t="s">
        <v>75</v>
      </c>
      <c r="C16" s="435" t="s">
        <v>76</v>
      </c>
      <c r="D16" s="436" t="s">
        <v>77</v>
      </c>
      <c r="E16" s="435" t="s">
        <v>78</v>
      </c>
      <c r="F16" s="437" t="s">
        <v>79</v>
      </c>
    </row>
    <row r="17" spans="1:12" s="238" customFormat="1" ht="16" customHeight="1" thickBot="1">
      <c r="A17" s="251" t="s">
        <v>230</v>
      </c>
      <c r="B17" s="474" t="e">
        <f>B9*12/1924</f>
        <v>#REF!</v>
      </c>
      <c r="C17" s="475" t="e">
        <f>C9*12/1924</f>
        <v>#REF!</v>
      </c>
      <c r="D17" s="474" t="e">
        <f>D9*12/1924</f>
        <v>#REF!</v>
      </c>
      <c r="E17" s="475" t="e">
        <f>(E9*12)/1924</f>
        <v>#REF!</v>
      </c>
      <c r="F17" s="476" t="e">
        <f>(F9*12)/1924</f>
        <v>#REF!</v>
      </c>
      <c r="H17" s="237"/>
      <c r="I17" s="237"/>
      <c r="J17" s="237"/>
      <c r="K17" s="237"/>
      <c r="L17" s="237"/>
    </row>
    <row r="18" spans="1:12" s="238" customFormat="1" ht="16" customHeight="1">
      <c r="A18" s="247"/>
      <c r="B18" s="246"/>
      <c r="C18" s="246"/>
      <c r="D18" s="246"/>
      <c r="E18" s="246"/>
      <c r="F18" s="246"/>
      <c r="H18" s="237"/>
      <c r="I18" s="237"/>
      <c r="J18" s="237"/>
      <c r="K18" s="237"/>
      <c r="L18" s="237"/>
    </row>
    <row r="19" spans="1:12" s="238" customFormat="1" ht="15" thickBot="1">
      <c r="A19" s="247"/>
      <c r="B19" s="246"/>
      <c r="C19" s="246"/>
      <c r="D19" s="246"/>
      <c r="E19" s="246"/>
      <c r="F19" s="246"/>
    </row>
    <row r="20" spans="1:12" ht="20" customHeight="1">
      <c r="A20" s="1079" t="s">
        <v>172</v>
      </c>
      <c r="B20" s="1080"/>
      <c r="C20" s="1080"/>
      <c r="D20" s="1080"/>
      <c r="E20" s="1080"/>
      <c r="F20" s="1080"/>
      <c r="G20" s="1080"/>
      <c r="H20" s="1080"/>
      <c r="I20" s="1081"/>
      <c r="J20" s="228"/>
    </row>
    <row r="21" spans="1:12" ht="20" customHeight="1" thickBot="1">
      <c r="A21" s="1170" t="s">
        <v>312</v>
      </c>
      <c r="B21" s="1171"/>
      <c r="C21" s="1171"/>
      <c r="D21" s="1171"/>
      <c r="E21" s="1171"/>
      <c r="F21" s="1171"/>
      <c r="G21" s="1171"/>
      <c r="H21" s="1171"/>
      <c r="I21" s="1172"/>
      <c r="J21" s="228"/>
    </row>
    <row r="22" spans="1:12" s="238" customFormat="1" ht="30" customHeight="1" thickBot="1">
      <c r="A22" s="1719"/>
      <c r="B22" s="1720"/>
      <c r="C22" s="1720"/>
      <c r="D22" s="1720"/>
      <c r="E22" s="1720"/>
      <c r="F22" s="1720"/>
      <c r="G22" s="1720"/>
      <c r="H22" s="599" t="s">
        <v>341</v>
      </c>
      <c r="I22" s="594" t="s">
        <v>342</v>
      </c>
    </row>
    <row r="23" spans="1:12" s="238" customFormat="1" ht="15" thickBot="1">
      <c r="A23" s="1770"/>
      <c r="B23" s="1771"/>
      <c r="C23" s="1771"/>
      <c r="D23" s="1771"/>
      <c r="E23" s="1771"/>
      <c r="F23" s="1771"/>
      <c r="G23" s="1772"/>
      <c r="H23" s="535">
        <v>40999</v>
      </c>
      <c r="I23" s="601" t="str">
        <f>'Løntabel gældende fra'!D1</f>
        <v>01/10/23</v>
      </c>
    </row>
    <row r="24" spans="1:12" s="238" customFormat="1" ht="17" customHeight="1">
      <c r="A24" s="1806" t="s">
        <v>173</v>
      </c>
      <c r="B24" s="1807"/>
      <c r="C24" s="1807"/>
      <c r="D24" s="1807"/>
      <c r="E24" s="1807"/>
      <c r="F24" s="515"/>
      <c r="G24" s="516" t="s">
        <v>165</v>
      </c>
      <c r="H24" s="160">
        <v>22.32</v>
      </c>
      <c r="I24" s="518">
        <f>H24+(H24*'Løntabel gældende fra'!$D$7%)</f>
        <v>25.873277040000001</v>
      </c>
    </row>
    <row r="25" spans="1:12" s="238" customFormat="1" ht="17" customHeight="1">
      <c r="A25" s="1726" t="s">
        <v>174</v>
      </c>
      <c r="B25" s="1727"/>
      <c r="C25" s="1727"/>
      <c r="D25" s="1727"/>
      <c r="E25" s="1727"/>
      <c r="F25" s="253"/>
      <c r="G25" s="236" t="s">
        <v>165</v>
      </c>
      <c r="H25" s="181">
        <v>39.92</v>
      </c>
      <c r="I25" s="518">
        <f>H25+(H25*'Løntabel gældende fra'!$D$7%)</f>
        <v>46.275144240000003</v>
      </c>
    </row>
    <row r="26" spans="1:12" s="238" customFormat="1" ht="17" customHeight="1">
      <c r="A26" s="1724" t="s">
        <v>175</v>
      </c>
      <c r="B26" s="1725"/>
      <c r="C26" s="1725"/>
      <c r="D26" s="1725"/>
      <c r="E26" s="1725"/>
      <c r="F26" s="1725"/>
      <c r="G26" s="236" t="s">
        <v>165</v>
      </c>
      <c r="H26" s="181">
        <v>39.92</v>
      </c>
      <c r="I26" s="518">
        <f>H26+(H26*'Løntabel gældende fra'!$D$7%)</f>
        <v>46.275144240000003</v>
      </c>
    </row>
    <row r="27" spans="1:12" s="238" customFormat="1" ht="17" customHeight="1" thickBot="1">
      <c r="A27" s="266" t="s">
        <v>164</v>
      </c>
      <c r="B27" s="265"/>
      <c r="C27" s="265"/>
      <c r="D27" s="265"/>
      <c r="E27" s="250"/>
      <c r="F27" s="250"/>
      <c r="G27" s="260" t="s">
        <v>165</v>
      </c>
      <c r="H27" s="161">
        <v>39.92</v>
      </c>
      <c r="I27" s="508">
        <f>H27+(H27*'Løntabel gældende fra'!$D$7%)</f>
        <v>46.275144240000003</v>
      </c>
    </row>
    <row r="28" spans="1:12" s="238" customFormat="1" ht="14">
      <c r="A28" s="228"/>
      <c r="B28" s="228"/>
      <c r="C28" s="228"/>
      <c r="D28" s="228"/>
      <c r="E28" s="228"/>
      <c r="F28" s="229"/>
      <c r="G28" s="228"/>
      <c r="H28" s="229"/>
      <c r="I28" s="228"/>
    </row>
    <row r="29" spans="1:12" s="238" customFormat="1" ht="15" thickBot="1">
      <c r="A29" s="228"/>
      <c r="B29" s="228"/>
      <c r="C29" s="228"/>
      <c r="D29" s="228"/>
      <c r="E29" s="228"/>
      <c r="F29" s="229"/>
      <c r="G29" s="228"/>
      <c r="H29" s="229"/>
      <c r="I29" s="228"/>
    </row>
    <row r="30" spans="1:12" s="238" customFormat="1" ht="18">
      <c r="A30" s="1079" t="s">
        <v>176</v>
      </c>
      <c r="B30" s="1080"/>
      <c r="C30" s="1080"/>
      <c r="D30" s="1080"/>
      <c r="E30" s="1080"/>
      <c r="F30" s="1080"/>
      <c r="G30" s="1080"/>
      <c r="H30" s="1080"/>
      <c r="I30" s="1081"/>
    </row>
    <row r="31" spans="1:12" s="238" customFormat="1" ht="17" thickBot="1">
      <c r="A31" s="1170" t="s">
        <v>308</v>
      </c>
      <c r="B31" s="1171"/>
      <c r="C31" s="1171"/>
      <c r="D31" s="1171"/>
      <c r="E31" s="1171"/>
      <c r="F31" s="1171"/>
      <c r="G31" s="1171"/>
      <c r="H31" s="1171"/>
      <c r="I31" s="1172"/>
    </row>
    <row r="32" spans="1:12" s="238" customFormat="1" ht="31" thickBot="1">
      <c r="A32" s="1770"/>
      <c r="B32" s="1771"/>
      <c r="C32" s="1771"/>
      <c r="D32" s="1771"/>
      <c r="E32" s="1771"/>
      <c r="F32" s="1771"/>
      <c r="G32" s="1772"/>
      <c r="H32" s="599" t="s">
        <v>341</v>
      </c>
      <c r="I32" s="594" t="s">
        <v>342</v>
      </c>
    </row>
    <row r="33" spans="1:9" s="238" customFormat="1" ht="15" thickBot="1">
      <c r="A33" s="1815"/>
      <c r="B33" s="1816"/>
      <c r="C33" s="1816"/>
      <c r="D33" s="1816"/>
      <c r="E33" s="1816"/>
      <c r="F33" s="1816"/>
      <c r="G33" s="1817"/>
      <c r="H33" s="535">
        <v>40999</v>
      </c>
      <c r="I33" s="601" t="str">
        <f>'Løntabel gældende fra'!D1</f>
        <v>01/10/23</v>
      </c>
    </row>
    <row r="34" spans="1:9" s="238" customFormat="1" ht="16" thickBot="1">
      <c r="A34" s="1250" t="s">
        <v>298</v>
      </c>
      <c r="B34" s="1251"/>
      <c r="C34" s="1251"/>
      <c r="D34" s="1251"/>
      <c r="E34" s="1251"/>
      <c r="F34" s="544"/>
      <c r="G34" s="545" t="s">
        <v>165</v>
      </c>
      <c r="H34" s="162">
        <v>6.88</v>
      </c>
      <c r="I34" s="508">
        <f>H34+(H34*'Løntabel gældende fra'!D7%)</f>
        <v>7.9752753599999995</v>
      </c>
    </row>
    <row r="35" spans="1:9" s="238" customFormat="1" ht="14">
      <c r="A35" s="228"/>
      <c r="B35" s="228"/>
      <c r="C35" s="228"/>
      <c r="D35" s="228"/>
      <c r="E35" s="228"/>
      <c r="F35" s="229"/>
      <c r="G35" s="228"/>
      <c r="H35" s="229"/>
      <c r="I35" s="228"/>
    </row>
    <row r="36" spans="1:9" s="238" customFormat="1" ht="15" thickBot="1">
      <c r="A36" s="228"/>
      <c r="B36" s="228"/>
      <c r="C36" s="228"/>
      <c r="D36" s="228"/>
      <c r="E36" s="228"/>
      <c r="F36" s="229"/>
      <c r="G36" s="228"/>
      <c r="H36" s="229"/>
      <c r="I36" s="228"/>
    </row>
    <row r="37" spans="1:9" s="238" customFormat="1" ht="18">
      <c r="A37" s="1079" t="s">
        <v>326</v>
      </c>
      <c r="B37" s="1080"/>
      <c r="C37" s="1080"/>
      <c r="D37" s="1080"/>
      <c r="E37" s="1080"/>
      <c r="F37" s="1080"/>
      <c r="G37" s="1080"/>
      <c r="H37" s="1080"/>
      <c r="I37" s="1081"/>
    </row>
    <row r="38" spans="1:9" s="238" customFormat="1" ht="17" thickBot="1">
      <c r="A38" s="1803" t="s">
        <v>312</v>
      </c>
      <c r="B38" s="1804"/>
      <c r="C38" s="1804"/>
      <c r="D38" s="1804"/>
      <c r="E38" s="1804"/>
      <c r="F38" s="1804"/>
      <c r="G38" s="1804"/>
      <c r="H38" s="1804"/>
      <c r="I38" s="1805"/>
    </row>
    <row r="39" spans="1:9" s="238" customFormat="1" ht="33" customHeight="1">
      <c r="A39" s="1774"/>
      <c r="B39" s="1775"/>
      <c r="C39" s="1775"/>
      <c r="D39" s="1775"/>
      <c r="E39" s="1775"/>
      <c r="F39" s="1775"/>
      <c r="G39" s="1776"/>
      <c r="H39" s="597" t="s">
        <v>131</v>
      </c>
      <c r="I39" s="593" t="s">
        <v>340</v>
      </c>
    </row>
    <row r="40" spans="1:9" s="238" customFormat="1" ht="15" thickBot="1">
      <c r="A40" s="1812"/>
      <c r="B40" s="1813"/>
      <c r="C40" s="1813"/>
      <c r="D40" s="1813"/>
      <c r="E40" s="1813"/>
      <c r="F40" s="1813"/>
      <c r="G40" s="1814"/>
      <c r="H40" s="535">
        <v>40999</v>
      </c>
      <c r="I40" s="601" t="str">
        <f>'Løntabel gældende fra'!D1</f>
        <v>01/10/23</v>
      </c>
    </row>
    <row r="41" spans="1:9" s="238" customFormat="1" ht="15" thickBot="1">
      <c r="A41" s="1250" t="s">
        <v>299</v>
      </c>
      <c r="B41" s="1251"/>
      <c r="C41" s="1251"/>
      <c r="D41" s="1251"/>
      <c r="E41" s="1251"/>
      <c r="F41" s="544"/>
      <c r="G41" s="545"/>
      <c r="H41" s="162">
        <v>655</v>
      </c>
      <c r="I41" s="508">
        <f>H41+(H41*'Løntabel gældende fra'!D7%)</f>
        <v>759.27403500000003</v>
      </c>
    </row>
    <row r="42" spans="1:9" s="238" customFormat="1" ht="14">
      <c r="A42" s="228"/>
      <c r="B42" s="228"/>
      <c r="C42" s="228"/>
      <c r="D42" s="228"/>
      <c r="E42" s="228"/>
      <c r="F42" s="229"/>
      <c r="G42" s="228"/>
      <c r="H42" s="229"/>
      <c r="I42" s="228"/>
    </row>
    <row r="43" spans="1:9" s="238" customFormat="1" ht="15" thickBot="1">
      <c r="A43" s="228"/>
      <c r="B43" s="228"/>
      <c r="C43" s="228"/>
      <c r="D43" s="228"/>
      <c r="E43" s="228"/>
      <c r="F43" s="229"/>
      <c r="G43" s="228"/>
      <c r="H43" s="229"/>
      <c r="I43" s="228"/>
    </row>
    <row r="44" spans="1:9" s="238" customFormat="1" ht="18">
      <c r="A44" s="1079" t="s">
        <v>325</v>
      </c>
      <c r="B44" s="1080"/>
      <c r="C44" s="1080"/>
      <c r="D44" s="1080"/>
      <c r="E44" s="1080"/>
      <c r="F44" s="1080"/>
      <c r="G44" s="1080"/>
      <c r="H44" s="1080"/>
      <c r="I44" s="1081"/>
    </row>
    <row r="45" spans="1:9" s="238" customFormat="1" ht="17" thickBot="1">
      <c r="A45" s="1803" t="s">
        <v>308</v>
      </c>
      <c r="B45" s="1804"/>
      <c r="C45" s="1804"/>
      <c r="D45" s="1804"/>
      <c r="E45" s="1804"/>
      <c r="F45" s="1804"/>
      <c r="G45" s="1804"/>
      <c r="H45" s="1804"/>
      <c r="I45" s="1805"/>
    </row>
    <row r="46" spans="1:9" s="238" customFormat="1" ht="30">
      <c r="A46" s="1247"/>
      <c r="B46" s="1248"/>
      <c r="C46" s="1248"/>
      <c r="D46" s="1248"/>
      <c r="E46" s="1248"/>
      <c r="F46" s="1248"/>
      <c r="G46" s="1249"/>
      <c r="H46" s="597" t="s">
        <v>131</v>
      </c>
      <c r="I46" s="593" t="s">
        <v>340</v>
      </c>
    </row>
    <row r="47" spans="1:9" s="238" customFormat="1" ht="15" thickBot="1">
      <c r="A47" s="1250"/>
      <c r="B47" s="1251"/>
      <c r="C47" s="1251"/>
      <c r="D47" s="1251"/>
      <c r="E47" s="1251"/>
      <c r="F47" s="1251"/>
      <c r="G47" s="1252"/>
      <c r="H47" s="535">
        <v>40999</v>
      </c>
      <c r="I47" s="601" t="str">
        <f>'Løntabel gældende fra'!D1</f>
        <v>01/10/23</v>
      </c>
    </row>
    <row r="48" spans="1:9" s="238" customFormat="1" ht="15" thickBot="1">
      <c r="A48" s="1250" t="s">
        <v>184</v>
      </c>
      <c r="B48" s="1251"/>
      <c r="C48" s="1251"/>
      <c r="D48" s="1251"/>
      <c r="E48" s="1251"/>
      <c r="F48" s="544"/>
      <c r="G48" s="545"/>
      <c r="H48" s="162">
        <v>10500</v>
      </c>
      <c r="I48" s="508">
        <f>H48+(H48*'Løntabel gældende fra'!D7%)</f>
        <v>12171.568499999999</v>
      </c>
    </row>
    <row r="49" spans="1:10" s="238" customFormat="1" ht="14"/>
    <row r="50" spans="1:10" s="238" customFormat="1" ht="15" thickBot="1"/>
    <row r="51" spans="1:10" s="238" customFormat="1" ht="18">
      <c r="A51" s="1079" t="s">
        <v>324</v>
      </c>
      <c r="B51" s="1080"/>
      <c r="C51" s="1080"/>
      <c r="D51" s="1080"/>
      <c r="E51" s="1080"/>
      <c r="F51" s="1080"/>
      <c r="G51" s="1080"/>
      <c r="H51" s="1080"/>
      <c r="I51" s="1081"/>
    </row>
    <row r="52" spans="1:10" s="238" customFormat="1" ht="17" thickBot="1">
      <c r="A52" s="1170" t="s">
        <v>308</v>
      </c>
      <c r="B52" s="1171"/>
      <c r="C52" s="1171"/>
      <c r="D52" s="1171"/>
      <c r="E52" s="1171"/>
      <c r="F52" s="1171"/>
      <c r="G52" s="1171"/>
      <c r="H52" s="1171"/>
      <c r="I52" s="1172"/>
    </row>
    <row r="53" spans="1:10" s="238" customFormat="1" ht="14">
      <c r="A53" s="1765" t="s">
        <v>400</v>
      </c>
      <c r="B53" s="1766"/>
      <c r="C53" s="1766"/>
      <c r="D53" s="1766"/>
      <c r="E53" s="1766"/>
      <c r="F53" s="1766"/>
      <c r="G53" s="1773"/>
      <c r="H53" s="540" t="s">
        <v>98</v>
      </c>
      <c r="I53" s="541" t="s">
        <v>103</v>
      </c>
    </row>
    <row r="54" spans="1:10" s="238" customFormat="1" ht="15" thickBot="1">
      <c r="A54" s="1738"/>
      <c r="B54" s="1739"/>
      <c r="C54" s="1739"/>
      <c r="D54" s="1739"/>
      <c r="E54" s="1739"/>
      <c r="F54" s="1739"/>
      <c r="G54" s="1751"/>
      <c r="H54" s="542">
        <v>40999</v>
      </c>
      <c r="I54" s="601" t="str">
        <f>'Løntabel gældende fra'!D1</f>
        <v>01/10/23</v>
      </c>
    </row>
    <row r="55" spans="1:10" s="238" customFormat="1" ht="15" thickBot="1">
      <c r="A55" s="1752" t="s">
        <v>305</v>
      </c>
      <c r="B55" s="1753"/>
      <c r="C55" s="1753"/>
      <c r="D55" s="1753"/>
      <c r="E55" s="1753"/>
      <c r="F55" s="234"/>
      <c r="G55" s="245"/>
      <c r="H55" s="303">
        <v>0</v>
      </c>
      <c r="I55" s="296">
        <v>0</v>
      </c>
    </row>
    <row r="56" spans="1:10" s="238" customFormat="1" ht="14"/>
    <row r="57" spans="1:10" s="238" customFormat="1" ht="14">
      <c r="A57" s="1811"/>
      <c r="B57" s="1811"/>
      <c r="C57" s="1811"/>
      <c r="D57" s="1811"/>
      <c r="E57" s="1811"/>
      <c r="F57" s="1811"/>
      <c r="G57" s="1811"/>
      <c r="H57" s="1811"/>
      <c r="I57" s="1811"/>
      <c r="J57" s="1811"/>
    </row>
    <row r="58" spans="1:10" s="238" customFormat="1" ht="14">
      <c r="A58" s="509"/>
    </row>
    <row r="59" spans="1:10" s="238" customFormat="1" ht="14"/>
    <row r="60" spans="1:10" s="238" customFormat="1" ht="14"/>
    <row r="61" spans="1:10" s="238" customFormat="1" ht="14"/>
    <row r="62" spans="1:10"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238" customFormat="1" ht="14"/>
    <row r="146" s="238" customFormat="1" ht="14"/>
    <row r="147" s="238" customFormat="1" ht="14"/>
    <row r="148" s="238" customFormat="1" ht="14"/>
    <row r="149" s="238" customFormat="1" ht="14"/>
    <row r="150" s="238" customFormat="1" ht="14"/>
    <row r="151" s="238" customFormat="1" ht="14"/>
    <row r="152" s="238" customFormat="1" ht="14"/>
    <row r="153" s="238"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41" workbookViewId="0">
      <selection activeCell="A30" sqref="A30:J30"/>
    </sheetView>
  </sheetViews>
  <sheetFormatPr baseColWidth="10" defaultColWidth="8.83203125" defaultRowHeight="13"/>
  <cols>
    <col min="1" max="2" width="11.6640625" style="212" customWidth="1"/>
    <col min="3" max="4" width="13.83203125" style="212" customWidth="1"/>
    <col min="5" max="5" width="13.83203125" style="213" customWidth="1"/>
    <col min="6" max="6" width="13.83203125" style="212" customWidth="1"/>
    <col min="7" max="8" width="13.83203125" style="214" customWidth="1"/>
    <col min="9" max="10" width="13.83203125" style="212" customWidth="1"/>
    <col min="11" max="11" width="11.6640625" style="212" customWidth="1"/>
    <col min="12" max="16384" width="8.83203125" style="212"/>
  </cols>
  <sheetData>
    <row r="1" spans="1:10" s="2" customFormat="1" ht="22" customHeight="1">
      <c r="A1" s="1185" t="s">
        <v>19</v>
      </c>
      <c r="B1" s="1186"/>
      <c r="C1" s="1186"/>
      <c r="D1" s="1186"/>
      <c r="E1" s="1186"/>
      <c r="F1" s="1186"/>
      <c r="G1" s="1186"/>
      <c r="H1" s="1186"/>
      <c r="I1" s="1186"/>
      <c r="J1" s="1187"/>
    </row>
    <row r="2" spans="1:10" s="2" customFormat="1" ht="22" customHeight="1">
      <c r="A2" s="1196" t="s">
        <v>443</v>
      </c>
      <c r="B2" s="1197"/>
      <c r="C2" s="1197"/>
      <c r="D2" s="1197"/>
      <c r="E2" s="1197"/>
      <c r="F2" s="1197"/>
      <c r="G2" s="1197"/>
      <c r="H2" s="1197"/>
      <c r="I2" s="1197"/>
      <c r="J2" s="1198"/>
    </row>
    <row r="3" spans="1:10" s="546" customFormat="1" ht="25" customHeight="1">
      <c r="A3" s="1196" t="str">
        <f>'Forside 1'!A6:I6</f>
        <v>Gældende fra 1. oktober 2023</v>
      </c>
      <c r="B3" s="1197"/>
      <c r="C3" s="1197"/>
      <c r="D3" s="1197"/>
      <c r="E3" s="1197"/>
      <c r="F3" s="1197"/>
      <c r="G3" s="1197"/>
      <c r="H3" s="1197"/>
      <c r="I3" s="1197"/>
      <c r="J3" s="1198"/>
    </row>
    <row r="4" spans="1:10" s="546" customFormat="1" ht="25" customHeight="1">
      <c r="A4" s="1836" t="s">
        <v>488</v>
      </c>
      <c r="B4" s="1837"/>
      <c r="C4" s="1837"/>
      <c r="D4" s="1837"/>
      <c r="E4" s="1837"/>
      <c r="F4" s="1837"/>
      <c r="G4" s="1837"/>
      <c r="H4" s="1837"/>
      <c r="I4" s="1837"/>
      <c r="J4" s="1838"/>
    </row>
    <row r="5" spans="1:10" s="2" customFormat="1" ht="19" customHeight="1" thickBot="1">
      <c r="A5" s="1833" t="s">
        <v>489</v>
      </c>
      <c r="B5" s="1834"/>
      <c r="C5" s="1834"/>
      <c r="D5" s="1834"/>
      <c r="E5" s="1834"/>
      <c r="F5" s="1834"/>
      <c r="G5" s="1834"/>
      <c r="H5" s="1834"/>
      <c r="I5" s="1834"/>
      <c r="J5" s="1835"/>
    </row>
    <row r="6" spans="1:10" ht="21" thickBot="1">
      <c r="A6" s="1762"/>
      <c r="B6" s="1762"/>
      <c r="C6" s="1762"/>
      <c r="D6" s="1762"/>
      <c r="E6" s="1762"/>
      <c r="F6" s="1762"/>
      <c r="G6" s="1762"/>
      <c r="H6" s="1762"/>
    </row>
    <row r="7" spans="1:10" ht="18">
      <c r="A7" s="1731" t="s">
        <v>444</v>
      </c>
      <c r="B7" s="1732"/>
      <c r="C7" s="1732"/>
      <c r="D7" s="1732"/>
      <c r="E7" s="1732"/>
      <c r="F7" s="1732"/>
      <c r="G7" s="1732"/>
      <c r="H7" s="1732"/>
      <c r="I7" s="1732"/>
      <c r="J7" s="1733"/>
    </row>
    <row r="8" spans="1:10" ht="17" thickBot="1">
      <c r="A8" s="1827" t="s">
        <v>445</v>
      </c>
      <c r="B8" s="1828"/>
      <c r="C8" s="1828"/>
      <c r="D8" s="1828"/>
      <c r="E8" s="1828"/>
      <c r="F8" s="1828"/>
      <c r="G8" s="1828"/>
      <c r="H8" s="1828"/>
      <c r="I8" s="1828"/>
      <c r="J8" s="1829"/>
    </row>
    <row r="9" spans="1:10" ht="16" customHeight="1" thickBot="1">
      <c r="A9" s="1830" t="s">
        <v>456</v>
      </c>
      <c r="B9" s="1831"/>
      <c r="C9" s="1831"/>
      <c r="D9" s="1831"/>
      <c r="E9" s="1831"/>
      <c r="F9" s="1832"/>
      <c r="G9" s="1830" t="s">
        <v>168</v>
      </c>
      <c r="H9" s="1831"/>
      <c r="I9" s="1831"/>
      <c r="J9" s="1832"/>
    </row>
    <row r="10" spans="1:10" ht="30" customHeight="1" thickBot="1">
      <c r="A10" s="763" t="s">
        <v>57</v>
      </c>
      <c r="B10" s="764" t="s">
        <v>75</v>
      </c>
      <c r="C10" s="765" t="s">
        <v>76</v>
      </c>
      <c r="D10" s="765" t="s">
        <v>77</v>
      </c>
      <c r="E10" s="765" t="s">
        <v>78</v>
      </c>
      <c r="F10" s="766" t="s">
        <v>79</v>
      </c>
      <c r="G10" s="763" t="s">
        <v>185</v>
      </c>
      <c r="H10" s="783" t="s">
        <v>187</v>
      </c>
      <c r="I10" s="778" t="s">
        <v>188</v>
      </c>
      <c r="J10" s="884">
        <v>0.16</v>
      </c>
    </row>
    <row r="11" spans="1:10" ht="16" customHeight="1">
      <c r="A11" s="361">
        <v>9</v>
      </c>
      <c r="B11" s="760">
        <f>'Statens skalatrin'!D31</f>
        <v>20269.419999999998</v>
      </c>
      <c r="C11" s="761">
        <f>'Statens skalatrin'!F31</f>
        <v>20673.830000000002</v>
      </c>
      <c r="D11" s="761">
        <f>'Statens skalatrin'!H31</f>
        <v>20954</v>
      </c>
      <c r="E11" s="761">
        <f>'Statens skalatrin'!J31</f>
        <v>21358.42</v>
      </c>
      <c r="F11" s="762">
        <f>'Statens skalatrin'!L31</f>
        <v>21638.5</v>
      </c>
      <c r="G11" s="882">
        <f>'Statens skalatrin'!O31</f>
        <v>18871.27</v>
      </c>
      <c r="H11" s="885">
        <f>J11*1/3</f>
        <v>1006.4666666666667</v>
      </c>
      <c r="I11" s="886">
        <f>J11*2/3</f>
        <v>2012.9333333333334</v>
      </c>
      <c r="J11" s="887">
        <f>ROUND(G11*$J$10,2)</f>
        <v>3019.4</v>
      </c>
    </row>
    <row r="12" spans="1:10" ht="16" customHeight="1">
      <c r="A12" s="759">
        <v>10</v>
      </c>
      <c r="B12" s="757">
        <f>'Statens skalatrin'!D34</f>
        <v>20609.830000000002</v>
      </c>
      <c r="C12" s="742">
        <f>'Statens skalatrin'!F34</f>
        <v>21024.58</v>
      </c>
      <c r="D12" s="742">
        <f>'Statens skalatrin'!H34</f>
        <v>21311.58</v>
      </c>
      <c r="E12" s="742">
        <f>'Statens skalatrin'!J34</f>
        <v>21726.17</v>
      </c>
      <c r="F12" s="747">
        <f>'Statens skalatrin'!L34</f>
        <v>22013.33</v>
      </c>
      <c r="G12" s="719">
        <f>'Statens skalatrin'!O34</f>
        <v>19190.46</v>
      </c>
      <c r="H12" s="888">
        <f t="shared" ref="H12:H16" si="0">J12*1/3</f>
        <v>1023.4899999999999</v>
      </c>
      <c r="I12" s="741">
        <f t="shared" ref="I12:I16" si="1">J12*2/3</f>
        <v>2046.9799999999998</v>
      </c>
      <c r="J12" s="767">
        <f t="shared" ref="J12:J16" si="2">ROUND(G12*$J$10,2)</f>
        <v>3070.47</v>
      </c>
    </row>
    <row r="13" spans="1:10" ht="16" customHeight="1">
      <c r="A13" s="759">
        <v>11</v>
      </c>
      <c r="B13" s="757">
        <f>'Statens skalatrin'!D37</f>
        <v>20878.5</v>
      </c>
      <c r="C13" s="742">
        <f>'Statens skalatrin'!F37</f>
        <v>21303.42</v>
      </c>
      <c r="D13" s="742">
        <f>'Statens skalatrin'!H37</f>
        <v>21597.67</v>
      </c>
      <c r="E13" s="742">
        <f>'Statens skalatrin'!J37</f>
        <v>22022.58</v>
      </c>
      <c r="F13" s="747">
        <f>'Statens skalatrin'!L37</f>
        <v>22316.75</v>
      </c>
      <c r="G13" s="719">
        <f>'Statens skalatrin'!O37</f>
        <v>19518.36</v>
      </c>
      <c r="H13" s="888">
        <f t="shared" si="0"/>
        <v>1040.98</v>
      </c>
      <c r="I13" s="741">
        <f t="shared" si="1"/>
        <v>2081.96</v>
      </c>
      <c r="J13" s="767">
        <f t="shared" si="2"/>
        <v>3122.94</v>
      </c>
    </row>
    <row r="14" spans="1:10" ht="16" customHeight="1">
      <c r="A14" s="759">
        <v>12</v>
      </c>
      <c r="B14" s="757">
        <f>'Statens skalatrin'!D40</f>
        <v>21237.919999999998</v>
      </c>
      <c r="C14" s="742">
        <f>'Statens skalatrin'!F40</f>
        <v>21673.58</v>
      </c>
      <c r="D14" s="742">
        <f>'Statens skalatrin'!H40</f>
        <v>21975.42</v>
      </c>
      <c r="E14" s="742">
        <f>'Statens skalatrin'!J40</f>
        <v>22410.83</v>
      </c>
      <c r="F14" s="747">
        <f>'Statens skalatrin'!L40</f>
        <v>22712.42</v>
      </c>
      <c r="G14" s="719">
        <f>'Statens skalatrin'!O40</f>
        <v>19855.32</v>
      </c>
      <c r="H14" s="888">
        <f t="shared" si="0"/>
        <v>1058.95</v>
      </c>
      <c r="I14" s="741">
        <f t="shared" si="1"/>
        <v>2117.9</v>
      </c>
      <c r="J14" s="767">
        <f t="shared" si="2"/>
        <v>3176.85</v>
      </c>
    </row>
    <row r="15" spans="1:10" ht="16" customHeight="1">
      <c r="A15" s="759">
        <v>13</v>
      </c>
      <c r="B15" s="757">
        <f>'Statens skalatrin'!D43</f>
        <v>21607.5</v>
      </c>
      <c r="C15" s="742">
        <f>'Statens skalatrin'!F43</f>
        <v>22054.080000000002</v>
      </c>
      <c r="D15" s="742">
        <f>'Statens skalatrin'!H43</f>
        <v>22363.25</v>
      </c>
      <c r="E15" s="742">
        <f>'Statens skalatrin'!J43</f>
        <v>22810</v>
      </c>
      <c r="F15" s="747">
        <f>'Statens skalatrin'!L43</f>
        <v>23119</v>
      </c>
      <c r="G15" s="719">
        <f>'Statens skalatrin'!O43</f>
        <v>20201.53</v>
      </c>
      <c r="H15" s="888">
        <f t="shared" si="0"/>
        <v>1077.4133333333332</v>
      </c>
      <c r="I15" s="741">
        <f t="shared" si="1"/>
        <v>2154.8266666666664</v>
      </c>
      <c r="J15" s="767">
        <f t="shared" si="2"/>
        <v>3232.24</v>
      </c>
    </row>
    <row r="16" spans="1:10" ht="16" customHeight="1" thickBot="1">
      <c r="A16" s="295">
        <v>14</v>
      </c>
      <c r="B16" s="758">
        <f>'Statens skalatrin'!D46</f>
        <v>21987.17</v>
      </c>
      <c r="C16" s="750">
        <f>'Statens skalatrin'!F46</f>
        <v>22445.08</v>
      </c>
      <c r="D16" s="750">
        <f>'Statens skalatrin'!H46</f>
        <v>22762</v>
      </c>
      <c r="E16" s="750">
        <f>'Statens skalatrin'!J46</f>
        <v>23219.75</v>
      </c>
      <c r="F16" s="751">
        <f>'Statens skalatrin'!L46</f>
        <v>23536.75</v>
      </c>
      <c r="G16" s="883">
        <f>'Statens skalatrin'!O46</f>
        <v>20557.32</v>
      </c>
      <c r="H16" s="889">
        <f t="shared" si="0"/>
        <v>1096.3900000000001</v>
      </c>
      <c r="I16" s="752">
        <f t="shared" si="1"/>
        <v>2192.7800000000002</v>
      </c>
      <c r="J16" s="890">
        <f t="shared" si="2"/>
        <v>3289.17</v>
      </c>
    </row>
    <row r="17" spans="1:11" ht="15" customHeight="1" thickBot="1">
      <c r="A17" s="829"/>
      <c r="B17" s="806"/>
      <c r="C17" s="753"/>
      <c r="D17" s="753"/>
      <c r="E17" s="753"/>
      <c r="F17" s="753"/>
      <c r="G17" s="770"/>
      <c r="H17" s="754"/>
      <c r="I17" s="754"/>
      <c r="J17" s="754"/>
      <c r="K17" s="754"/>
    </row>
    <row r="18" spans="1:11" ht="20" customHeight="1">
      <c r="A18" s="1731" t="s">
        <v>446</v>
      </c>
      <c r="B18" s="1732"/>
      <c r="C18" s="1732"/>
      <c r="D18" s="1732"/>
      <c r="E18" s="1732"/>
      <c r="F18" s="1732"/>
      <c r="G18" s="1732"/>
      <c r="H18" s="1732"/>
      <c r="I18" s="1732"/>
      <c r="J18" s="1733"/>
    </row>
    <row r="19" spans="1:11" ht="20" customHeight="1" thickBot="1">
      <c r="A19" s="1827" t="s">
        <v>445</v>
      </c>
      <c r="B19" s="1828"/>
      <c r="C19" s="1828"/>
      <c r="D19" s="1828"/>
      <c r="E19" s="1828"/>
      <c r="F19" s="1828"/>
      <c r="G19" s="1828"/>
      <c r="H19" s="1828"/>
      <c r="I19" s="1828"/>
      <c r="J19" s="1829"/>
    </row>
    <row r="20" spans="1:11" ht="20" customHeight="1" thickBot="1">
      <c r="A20" s="1830" t="s">
        <v>456</v>
      </c>
      <c r="B20" s="1831"/>
      <c r="C20" s="1831"/>
      <c r="D20" s="1831"/>
      <c r="E20" s="1831"/>
      <c r="F20" s="1832"/>
      <c r="G20" s="1830" t="s">
        <v>168</v>
      </c>
      <c r="H20" s="1856"/>
      <c r="I20" s="1856"/>
      <c r="J20" s="1857"/>
    </row>
    <row r="21" spans="1:11" ht="30" customHeight="1" thickBot="1">
      <c r="A21" s="763" t="s">
        <v>57</v>
      </c>
      <c r="B21" s="783" t="s">
        <v>75</v>
      </c>
      <c r="C21" s="778" t="s">
        <v>76</v>
      </c>
      <c r="D21" s="778" t="s">
        <v>77</v>
      </c>
      <c r="E21" s="778" t="s">
        <v>78</v>
      </c>
      <c r="F21" s="779" t="s">
        <v>79</v>
      </c>
      <c r="G21" s="444" t="s">
        <v>185</v>
      </c>
      <c r="H21" s="768" t="s">
        <v>187</v>
      </c>
      <c r="I21" s="765" t="s">
        <v>188</v>
      </c>
      <c r="J21" s="769">
        <f>J10</f>
        <v>0.16</v>
      </c>
    </row>
    <row r="22" spans="1:11" ht="16" customHeight="1">
      <c r="A22" s="771">
        <v>16</v>
      </c>
      <c r="B22" s="780">
        <f>'Statens skalatrin'!D52</f>
        <v>22676.080000000002</v>
      </c>
      <c r="C22" s="781">
        <f>'Statens skalatrin'!F52</f>
        <v>23157.42</v>
      </c>
      <c r="D22" s="781">
        <f>'Statens skalatrin'!H52</f>
        <v>23490.67</v>
      </c>
      <c r="E22" s="781">
        <f>'Statens skalatrin'!J52</f>
        <v>23971.83</v>
      </c>
      <c r="F22" s="782">
        <f>'Statens skalatrin'!L52</f>
        <v>24305.08</v>
      </c>
      <c r="G22" s="775">
        <f>'Statens skalatrin'!O52</f>
        <v>21298.36</v>
      </c>
      <c r="H22" s="885">
        <f>J22*1/3</f>
        <v>1135.9133333333332</v>
      </c>
      <c r="I22" s="886">
        <f>J22*2/3</f>
        <v>2271.8266666666664</v>
      </c>
      <c r="J22" s="887">
        <f>ROUND(G22*$J$10,2)</f>
        <v>3407.74</v>
      </c>
    </row>
    <row r="23" spans="1:11" ht="16" customHeight="1">
      <c r="A23" s="745">
        <v>18</v>
      </c>
      <c r="B23" s="746">
        <f>'Statens skalatrin'!D58</f>
        <v>23511.08</v>
      </c>
      <c r="C23" s="742">
        <f>'Statens skalatrin'!F58</f>
        <v>24017.25</v>
      </c>
      <c r="D23" s="742">
        <f>'Statens skalatrin'!H58</f>
        <v>24367.5</v>
      </c>
      <c r="E23" s="742">
        <f>'Statens skalatrin'!J58</f>
        <v>24873.5</v>
      </c>
      <c r="F23" s="747">
        <f>'Statens skalatrin'!L58</f>
        <v>25223.67</v>
      </c>
      <c r="G23" s="776">
        <f>'Statens skalatrin'!O58</f>
        <v>22080.720000000001</v>
      </c>
      <c r="H23" s="888">
        <f t="shared" ref="H23:H27" si="3">J23*1/3</f>
        <v>1177.6400000000001</v>
      </c>
      <c r="I23" s="741">
        <f t="shared" ref="I23:I27" si="4">J23*2/3</f>
        <v>2355.2800000000002</v>
      </c>
      <c r="J23" s="767">
        <f t="shared" ref="J23:J27" si="5">ROUND(G23*$J$10,2)</f>
        <v>3532.92</v>
      </c>
    </row>
    <row r="24" spans="1:11" s="548" customFormat="1" ht="16" customHeight="1">
      <c r="A24" s="745">
        <v>20</v>
      </c>
      <c r="B24" s="746">
        <f>'Statens skalatrin'!D64</f>
        <v>24155.08</v>
      </c>
      <c r="C24" s="742">
        <f>'Statens skalatrin'!F64</f>
        <v>24687</v>
      </c>
      <c r="D24" s="742">
        <f>'Statens skalatrin'!H64</f>
        <v>25055.5</v>
      </c>
      <c r="E24" s="742">
        <f>'Statens skalatrin'!J64</f>
        <v>25587.5</v>
      </c>
      <c r="F24" s="747">
        <f>'Statens skalatrin'!L64</f>
        <v>25955.75</v>
      </c>
      <c r="G24" s="776">
        <f>'Statens skalatrin'!O64</f>
        <v>22906.66</v>
      </c>
      <c r="H24" s="888">
        <f t="shared" si="3"/>
        <v>1221.69</v>
      </c>
      <c r="I24" s="741">
        <f t="shared" si="4"/>
        <v>2443.38</v>
      </c>
      <c r="J24" s="767">
        <f t="shared" si="5"/>
        <v>3665.07</v>
      </c>
    </row>
    <row r="25" spans="1:11" s="548" customFormat="1" ht="16" customHeight="1">
      <c r="A25" s="745">
        <v>22</v>
      </c>
      <c r="B25" s="746">
        <f>'Statens skalatrin'!D70</f>
        <v>24925.33</v>
      </c>
      <c r="C25" s="742">
        <f>'Statens skalatrin'!F70</f>
        <v>25471</v>
      </c>
      <c r="D25" s="742">
        <f>'Statens skalatrin'!H70</f>
        <v>25848.83</v>
      </c>
      <c r="E25" s="742">
        <f>'Statens skalatrin'!J70</f>
        <v>26394.5</v>
      </c>
      <c r="F25" s="747">
        <f>'Statens skalatrin'!L70</f>
        <v>26772.33</v>
      </c>
      <c r="G25" s="776">
        <f>'Statens skalatrin'!O70</f>
        <v>23766.76</v>
      </c>
      <c r="H25" s="888">
        <f t="shared" si="3"/>
        <v>1267.56</v>
      </c>
      <c r="I25" s="741">
        <f t="shared" si="4"/>
        <v>2535.12</v>
      </c>
      <c r="J25" s="767">
        <f t="shared" si="5"/>
        <v>3802.68</v>
      </c>
    </row>
    <row r="26" spans="1:11" ht="16" customHeight="1">
      <c r="A26" s="745">
        <v>24</v>
      </c>
      <c r="B26" s="746">
        <f>'Statens skalatrin'!D76</f>
        <v>25731.5</v>
      </c>
      <c r="C26" s="742">
        <f>'Statens skalatrin'!F76</f>
        <v>26247.08</v>
      </c>
      <c r="D26" s="742">
        <f>'Statens skalatrin'!H76</f>
        <v>26604.17</v>
      </c>
      <c r="E26" s="742">
        <f>'Statens skalatrin'!J76</f>
        <v>27119.919999999998</v>
      </c>
      <c r="F26" s="747">
        <f>'Statens skalatrin'!L76</f>
        <v>27476.92</v>
      </c>
      <c r="G26" s="776">
        <f>'Statens skalatrin'!O76</f>
        <v>24636.6</v>
      </c>
      <c r="H26" s="888">
        <f t="shared" si="3"/>
        <v>1313.9533333333334</v>
      </c>
      <c r="I26" s="741">
        <f t="shared" si="4"/>
        <v>2627.9066666666668</v>
      </c>
      <c r="J26" s="767">
        <f t="shared" si="5"/>
        <v>3941.86</v>
      </c>
    </row>
    <row r="27" spans="1:11" ht="16" customHeight="1" thickBot="1">
      <c r="A27" s="755">
        <v>26</v>
      </c>
      <c r="B27" s="749">
        <f>'Statens skalatrin'!D82</f>
        <v>26577.58</v>
      </c>
      <c r="C27" s="750">
        <f>'Statens skalatrin'!F82</f>
        <v>27059.83</v>
      </c>
      <c r="D27" s="750">
        <f>'Statens skalatrin'!H82</f>
        <v>27393.75</v>
      </c>
      <c r="E27" s="750">
        <f>'Statens skalatrin'!J82</f>
        <v>27876.080000000002</v>
      </c>
      <c r="F27" s="751">
        <f>'Statens skalatrin'!L82</f>
        <v>28209.919999999998</v>
      </c>
      <c r="G27" s="777">
        <f>'Statens skalatrin'!O82</f>
        <v>25553.4</v>
      </c>
      <c r="H27" s="889">
        <f t="shared" si="3"/>
        <v>1362.8466666666666</v>
      </c>
      <c r="I27" s="752">
        <f t="shared" si="4"/>
        <v>2725.6933333333332</v>
      </c>
      <c r="J27" s="890">
        <f t="shared" si="5"/>
        <v>4088.54</v>
      </c>
    </row>
    <row r="28" spans="1:11" ht="20" customHeight="1" thickBot="1">
      <c r="A28" s="830"/>
      <c r="B28" s="807"/>
      <c r="C28" s="753"/>
      <c r="D28" s="753"/>
      <c r="E28" s="753"/>
      <c r="F28" s="753"/>
      <c r="G28" s="753"/>
      <c r="H28" s="753"/>
      <c r="I28" s="754"/>
      <c r="J28" s="754"/>
      <c r="K28" s="756"/>
    </row>
    <row r="29" spans="1:11" ht="20" customHeight="1">
      <c r="A29" s="1731" t="s">
        <v>447</v>
      </c>
      <c r="B29" s="1732"/>
      <c r="C29" s="1732"/>
      <c r="D29" s="1732"/>
      <c r="E29" s="1732"/>
      <c r="F29" s="1732"/>
      <c r="G29" s="1732"/>
      <c r="H29" s="1732"/>
      <c r="I29" s="1732"/>
      <c r="J29" s="1733"/>
    </row>
    <row r="30" spans="1:11" ht="20" customHeight="1" thickBot="1">
      <c r="A30" s="1827" t="s">
        <v>445</v>
      </c>
      <c r="B30" s="1828"/>
      <c r="C30" s="1828"/>
      <c r="D30" s="1828"/>
      <c r="E30" s="1828"/>
      <c r="F30" s="1828"/>
      <c r="G30" s="1828"/>
      <c r="H30" s="1828"/>
      <c r="I30" s="1828"/>
      <c r="J30" s="1829"/>
    </row>
    <row r="31" spans="1:11" s="254" customFormat="1" ht="20" customHeight="1" thickBot="1">
      <c r="A31" s="1830" t="s">
        <v>456</v>
      </c>
      <c r="B31" s="1831"/>
      <c r="C31" s="1831"/>
      <c r="D31" s="1831"/>
      <c r="E31" s="1831"/>
      <c r="F31" s="1832"/>
      <c r="G31" s="1830" t="s">
        <v>168</v>
      </c>
      <c r="H31" s="1831"/>
      <c r="I31" s="1831"/>
      <c r="J31" s="1832"/>
    </row>
    <row r="32" spans="1:11" ht="30" customHeight="1" thickBot="1">
      <c r="A32" s="444" t="s">
        <v>57</v>
      </c>
      <c r="B32" s="768" t="s">
        <v>75</v>
      </c>
      <c r="C32" s="765" t="s">
        <v>76</v>
      </c>
      <c r="D32" s="765" t="s">
        <v>77</v>
      </c>
      <c r="E32" s="765" t="s">
        <v>78</v>
      </c>
      <c r="F32" s="773" t="s">
        <v>79</v>
      </c>
      <c r="G32" s="763" t="s">
        <v>185</v>
      </c>
      <c r="H32" s="786" t="s">
        <v>187</v>
      </c>
      <c r="I32" s="763" t="s">
        <v>188</v>
      </c>
      <c r="J32" s="787">
        <f>J10</f>
        <v>0.16</v>
      </c>
    </row>
    <row r="33" spans="1:11" ht="16" customHeight="1">
      <c r="A33" s="759">
        <v>27</v>
      </c>
      <c r="B33" s="760">
        <f>'Statens skalatrin'!D85</f>
        <v>27014.67</v>
      </c>
      <c r="C33" s="761">
        <f>'Statens skalatrin'!F85</f>
        <v>27478.42</v>
      </c>
      <c r="D33" s="761">
        <f>'Statens skalatrin'!H85</f>
        <v>27799.67</v>
      </c>
      <c r="E33" s="761">
        <f>'Statens skalatrin'!J85</f>
        <v>28263.42</v>
      </c>
      <c r="F33" s="774">
        <f>'Statens skalatrin'!L85</f>
        <v>28584.67</v>
      </c>
      <c r="G33" s="785">
        <f>'Statens skalatrin'!O85</f>
        <v>26029.759999999998</v>
      </c>
      <c r="H33" s="885">
        <f>J33*1/3</f>
        <v>1388.2533333333333</v>
      </c>
      <c r="I33" s="886">
        <f>J33*2/3</f>
        <v>2776.5066666666667</v>
      </c>
      <c r="J33" s="887">
        <f>ROUND(G33*$J$10,2)</f>
        <v>4164.76</v>
      </c>
    </row>
    <row r="34" spans="1:11" ht="16" customHeight="1">
      <c r="A34" s="759">
        <v>29</v>
      </c>
      <c r="B34" s="757">
        <f>'Statens skalatrin'!D91</f>
        <v>27918.67</v>
      </c>
      <c r="C34" s="742">
        <f>'Statens skalatrin'!F91</f>
        <v>28341.75</v>
      </c>
      <c r="D34" s="742">
        <f>'Statens skalatrin'!H91</f>
        <v>28634.75</v>
      </c>
      <c r="E34" s="742">
        <f>'Statens skalatrin'!J91</f>
        <v>29057.919999999998</v>
      </c>
      <c r="F34" s="784">
        <f>'Statens skalatrin'!L91</f>
        <v>29350.75</v>
      </c>
      <c r="G34" s="603">
        <f>'Statens skalatrin'!O91</f>
        <v>27020.400000000001</v>
      </c>
      <c r="H34" s="888">
        <f t="shared" ref="H34:H36" si="6">J34*1/3</f>
        <v>1441.0866666666668</v>
      </c>
      <c r="I34" s="741">
        <f t="shared" ref="I34:I36" si="7">J34*2/3</f>
        <v>2882.1733333333336</v>
      </c>
      <c r="J34" s="767">
        <f t="shared" ref="J34:J36" si="8">ROUND(G34*$J$10,2)</f>
        <v>4323.26</v>
      </c>
    </row>
    <row r="35" spans="1:11" ht="16" customHeight="1">
      <c r="A35" s="759">
        <v>31</v>
      </c>
      <c r="B35" s="757">
        <f>'Statens skalatrin'!D97</f>
        <v>28863.5</v>
      </c>
      <c r="C35" s="742">
        <f>'Statens skalatrin'!F97</f>
        <v>29240.33</v>
      </c>
      <c r="D35" s="742">
        <f>'Statens skalatrin'!H97</f>
        <v>29501.33</v>
      </c>
      <c r="E35" s="742">
        <f>'Statens skalatrin'!J97</f>
        <v>29878.17</v>
      </c>
      <c r="F35" s="784">
        <f>'Statens skalatrin'!L97</f>
        <v>30139.08</v>
      </c>
      <c r="G35" s="603">
        <f>'Statens skalatrin'!O97</f>
        <v>28063.45</v>
      </c>
      <c r="H35" s="888">
        <f t="shared" si="6"/>
        <v>1496.7166666666665</v>
      </c>
      <c r="I35" s="741">
        <f t="shared" si="7"/>
        <v>2993.4333333333329</v>
      </c>
      <c r="J35" s="767">
        <f t="shared" si="8"/>
        <v>4490.1499999999996</v>
      </c>
    </row>
    <row r="36" spans="1:11" s="548" customFormat="1" ht="16" customHeight="1" thickBot="1">
      <c r="A36" s="295">
        <v>33</v>
      </c>
      <c r="B36" s="788">
        <f>'Statens skalatrin'!D103</f>
        <v>29850.83</v>
      </c>
      <c r="C36" s="743">
        <f>'Statens skalatrin'!F103</f>
        <v>30175.33</v>
      </c>
      <c r="D36" s="743">
        <f>'Statens skalatrin'!H103</f>
        <v>30400.25</v>
      </c>
      <c r="E36" s="743">
        <f>'Statens skalatrin'!J103</f>
        <v>30724.83</v>
      </c>
      <c r="F36" s="789">
        <f>'Statens skalatrin'!L103</f>
        <v>30949.58</v>
      </c>
      <c r="G36" s="604">
        <f>'Statens skalatrin'!O103</f>
        <v>29161.71</v>
      </c>
      <c r="H36" s="891">
        <f t="shared" si="6"/>
        <v>1555.29</v>
      </c>
      <c r="I36" s="744">
        <f t="shared" si="7"/>
        <v>3110.58</v>
      </c>
      <c r="J36" s="890">
        <f t="shared" si="8"/>
        <v>4665.87</v>
      </c>
    </row>
    <row r="37" spans="1:11" s="790" customFormat="1" ht="20" customHeight="1" thickBot="1">
      <c r="A37" s="830"/>
      <c r="B37" s="807"/>
      <c r="C37" s="753"/>
      <c r="D37" s="753"/>
      <c r="E37" s="753"/>
      <c r="F37" s="753"/>
      <c r="G37" s="753"/>
      <c r="H37" s="753"/>
      <c r="I37" s="754"/>
      <c r="J37" s="754"/>
      <c r="K37" s="756"/>
    </row>
    <row r="38" spans="1:11" s="548" customFormat="1" ht="20" customHeight="1">
      <c r="A38" s="1731" t="s">
        <v>448</v>
      </c>
      <c r="B38" s="1732"/>
      <c r="C38" s="1732"/>
      <c r="D38" s="1732"/>
      <c r="E38" s="1732"/>
      <c r="F38" s="1732"/>
      <c r="G38" s="1732"/>
      <c r="H38" s="1732"/>
      <c r="I38" s="1732"/>
      <c r="J38" s="1733"/>
    </row>
    <row r="39" spans="1:11" ht="20" customHeight="1" thickBot="1">
      <c r="A39" s="1827" t="s">
        <v>445</v>
      </c>
      <c r="B39" s="1828"/>
      <c r="C39" s="1828"/>
      <c r="D39" s="1828"/>
      <c r="E39" s="1828"/>
      <c r="F39" s="1828"/>
      <c r="G39" s="1828"/>
      <c r="H39" s="1828"/>
      <c r="I39" s="1828"/>
      <c r="J39" s="1829"/>
    </row>
    <row r="40" spans="1:11" ht="20" customHeight="1" thickBot="1">
      <c r="A40" s="1830" t="s">
        <v>456</v>
      </c>
      <c r="B40" s="1831"/>
      <c r="C40" s="1831"/>
      <c r="D40" s="1831"/>
      <c r="E40" s="1831"/>
      <c r="F40" s="1832"/>
      <c r="G40" s="1830" t="s">
        <v>168</v>
      </c>
      <c r="H40" s="1831"/>
      <c r="I40" s="1831"/>
      <c r="J40" s="1832"/>
    </row>
    <row r="41" spans="1:11" ht="30" customHeight="1" thickBot="1">
      <c r="A41" s="444" t="s">
        <v>57</v>
      </c>
      <c r="B41" s="768" t="s">
        <v>75</v>
      </c>
      <c r="C41" s="765" t="s">
        <v>76</v>
      </c>
      <c r="D41" s="765" t="s">
        <v>77</v>
      </c>
      <c r="E41" s="765" t="s">
        <v>78</v>
      </c>
      <c r="F41" s="766" t="s">
        <v>79</v>
      </c>
      <c r="G41" s="786" t="s">
        <v>185</v>
      </c>
      <c r="H41" s="786" t="s">
        <v>187</v>
      </c>
      <c r="I41" s="763" t="s">
        <v>188</v>
      </c>
      <c r="J41" s="787">
        <f>J10</f>
        <v>0.16</v>
      </c>
    </row>
    <row r="42" spans="1:11" s="238" customFormat="1" ht="16" customHeight="1">
      <c r="A42" s="759">
        <v>34</v>
      </c>
      <c r="B42" s="772">
        <f>'Statens skalatrin'!D106</f>
        <v>30361.08</v>
      </c>
      <c r="C42" s="760">
        <f>'Statens skalatrin'!F106</f>
        <v>30657.17</v>
      </c>
      <c r="D42" s="760">
        <f>'Statens skalatrin'!H106</f>
        <v>30862.17</v>
      </c>
      <c r="E42" s="760">
        <f>'Statens skalatrin'!J106</f>
        <v>31158.080000000002</v>
      </c>
      <c r="F42" s="793">
        <f>'Statens skalatrin'!L106</f>
        <v>31363</v>
      </c>
      <c r="G42" s="797">
        <f>'Statens skalatrin'!O106</f>
        <v>29732.5</v>
      </c>
      <c r="H42" s="885">
        <f>J42*1/3</f>
        <v>1585.7333333333333</v>
      </c>
      <c r="I42" s="886">
        <f>J42*2/3</f>
        <v>3171.4666666666667</v>
      </c>
      <c r="J42" s="887">
        <f>ROUND(G42*$J$10,2)</f>
        <v>4757.2</v>
      </c>
    </row>
    <row r="43" spans="1:11" s="238" customFormat="1" ht="16" customHeight="1">
      <c r="A43" s="759">
        <v>36</v>
      </c>
      <c r="B43" s="746">
        <f>'Statens skalatrin'!D112</f>
        <v>31415.58</v>
      </c>
      <c r="C43" s="757">
        <f>'Statens skalatrin'!F112</f>
        <v>31649.33</v>
      </c>
      <c r="D43" s="757">
        <f>'Statens skalatrin'!H112</f>
        <v>31811.25</v>
      </c>
      <c r="E43" s="757">
        <f>'Statens skalatrin'!J112</f>
        <v>32045.17</v>
      </c>
      <c r="F43" s="776">
        <f>'Statens skalatrin'!L112</f>
        <v>32206.92</v>
      </c>
      <c r="G43" s="603">
        <f>'Statens skalatrin'!O112</f>
        <v>30919.13</v>
      </c>
      <c r="H43" s="888">
        <f t="shared" ref="H43:H46" si="9">J43*1/3</f>
        <v>1649.0200000000002</v>
      </c>
      <c r="I43" s="741">
        <f t="shared" ref="I43:I46" si="10">J43*2/3</f>
        <v>3298.0400000000004</v>
      </c>
      <c r="J43" s="767">
        <f t="shared" ref="J43:J46" si="11">ROUND(G43*$J$10,2)</f>
        <v>4947.0600000000004</v>
      </c>
    </row>
    <row r="44" spans="1:11" s="238" customFormat="1" ht="16" customHeight="1">
      <c r="A44" s="759">
        <v>40</v>
      </c>
      <c r="B44" s="746">
        <f>'Statens skalatrin'!D124</f>
        <v>33710</v>
      </c>
      <c r="C44" s="757">
        <f>'Statens skalatrin'!F124</f>
        <v>33798.17</v>
      </c>
      <c r="D44" s="757">
        <f>'Statens skalatrin'!H124</f>
        <v>33859.17</v>
      </c>
      <c r="E44" s="757">
        <f>'Statens skalatrin'!J124</f>
        <v>33947.25</v>
      </c>
      <c r="F44" s="776">
        <f>'Statens skalatrin'!L124</f>
        <v>34008.33</v>
      </c>
      <c r="G44" s="603">
        <f>'Statens skalatrin'!O124</f>
        <v>33522.769999999997</v>
      </c>
      <c r="H44" s="888">
        <f t="shared" si="9"/>
        <v>1787.88</v>
      </c>
      <c r="I44" s="741">
        <f t="shared" si="10"/>
        <v>3575.76</v>
      </c>
      <c r="J44" s="767">
        <f t="shared" si="11"/>
        <v>5363.64</v>
      </c>
    </row>
    <row r="45" spans="1:11" s="238" customFormat="1" ht="16" customHeight="1">
      <c r="A45" s="791">
        <v>42</v>
      </c>
      <c r="B45" s="794">
        <f>'Statens skalatrin'!D130</f>
        <v>34936.25</v>
      </c>
      <c r="C45" s="792">
        <f>'Statens skalatrin'!F130</f>
        <v>34936.25</v>
      </c>
      <c r="D45" s="792">
        <f>'Statens skalatrin'!H130</f>
        <v>34936.25</v>
      </c>
      <c r="E45" s="792">
        <f>'Statens skalatrin'!J130</f>
        <v>34936.25</v>
      </c>
      <c r="F45" s="795">
        <f>'Statens skalatrin'!L130</f>
        <v>34936.25</v>
      </c>
      <c r="G45" s="740">
        <f>'Statens skalatrin'!O130</f>
        <v>34936.19</v>
      </c>
      <c r="H45" s="888">
        <f t="shared" si="9"/>
        <v>1863.2633333333333</v>
      </c>
      <c r="I45" s="741">
        <f t="shared" si="10"/>
        <v>3726.5266666666666</v>
      </c>
      <c r="J45" s="767">
        <f t="shared" si="11"/>
        <v>5589.79</v>
      </c>
    </row>
    <row r="46" spans="1:11" ht="16" customHeight="1" thickBot="1">
      <c r="A46" s="295">
        <v>43</v>
      </c>
      <c r="B46" s="748">
        <f>'Statens skalatrin'!D133</f>
        <v>35711.83</v>
      </c>
      <c r="C46" s="788">
        <f>'Statens skalatrin'!F133</f>
        <v>35711.83</v>
      </c>
      <c r="D46" s="788">
        <f>'Statens skalatrin'!H133</f>
        <v>35711.83</v>
      </c>
      <c r="E46" s="788">
        <f>'Statens skalatrin'!J133</f>
        <v>35711.83</v>
      </c>
      <c r="F46" s="796">
        <f>'Statens skalatrin'!L133</f>
        <v>35711.83</v>
      </c>
      <c r="G46" s="604">
        <f>'Statens skalatrin'!O133</f>
        <v>35711.82</v>
      </c>
      <c r="H46" s="891">
        <f t="shared" si="9"/>
        <v>1904.63</v>
      </c>
      <c r="I46" s="744">
        <f t="shared" si="10"/>
        <v>3809.26</v>
      </c>
      <c r="J46" s="890">
        <f t="shared" si="11"/>
        <v>5713.89</v>
      </c>
    </row>
    <row r="47" spans="1:11" s="254" customFormat="1" ht="20" customHeight="1" thickBot="1">
      <c r="A47" s="830"/>
      <c r="B47" s="807"/>
      <c r="C47" s="753"/>
      <c r="D47" s="753"/>
      <c r="E47" s="753"/>
      <c r="F47" s="753"/>
      <c r="G47" s="770"/>
      <c r="H47" s="753"/>
      <c r="I47" s="754"/>
      <c r="J47" s="754"/>
      <c r="K47" s="754"/>
    </row>
    <row r="48" spans="1:11" ht="20" customHeight="1">
      <c r="A48" s="1153" t="s">
        <v>192</v>
      </c>
      <c r="B48" s="1154"/>
      <c r="C48" s="1154"/>
      <c r="D48" s="1154"/>
      <c r="E48" s="1154"/>
      <c r="F48" s="1154"/>
      <c r="G48" s="1154"/>
      <c r="H48" s="1154"/>
      <c r="I48" s="1154"/>
      <c r="J48" s="1155"/>
    </row>
    <row r="49" spans="1:11" ht="17" customHeight="1" thickBot="1">
      <c r="A49" s="1851" t="s">
        <v>312</v>
      </c>
      <c r="B49" s="1852"/>
      <c r="C49" s="1852"/>
      <c r="D49" s="1852"/>
      <c r="E49" s="1852"/>
      <c r="F49" s="1852"/>
      <c r="G49" s="1852"/>
      <c r="H49" s="1852"/>
      <c r="I49" s="1852"/>
      <c r="J49" s="1853"/>
    </row>
    <row r="50" spans="1:11" ht="16">
      <c r="A50" s="798"/>
      <c r="B50" s="799"/>
      <c r="C50" s="799"/>
      <c r="D50" s="799"/>
      <c r="E50" s="799"/>
      <c r="F50" s="802"/>
      <c r="G50" s="1839" t="s">
        <v>341</v>
      </c>
      <c r="H50" s="1840"/>
      <c r="I50" s="1839" t="s">
        <v>342</v>
      </c>
      <c r="J50" s="1840"/>
    </row>
    <row r="51" spans="1:11" ht="17" thickBot="1">
      <c r="A51" s="800"/>
      <c r="B51" s="801"/>
      <c r="C51" s="801"/>
      <c r="D51" s="801"/>
      <c r="E51" s="801"/>
      <c r="F51" s="739"/>
      <c r="G51" s="1841">
        <v>40999</v>
      </c>
      <c r="H51" s="1842"/>
      <c r="I51" s="1841" t="str">
        <f>'Løntabel gældende fra'!$D$1</f>
        <v>01/10/23</v>
      </c>
      <c r="J51" s="1842"/>
    </row>
    <row r="52" spans="1:11" ht="16" customHeight="1" thickBot="1">
      <c r="A52" s="1845" t="s">
        <v>459</v>
      </c>
      <c r="B52" s="1846"/>
      <c r="C52" s="1846"/>
      <c r="D52" s="1846"/>
      <c r="E52" s="1846"/>
      <c r="F52" s="1847"/>
      <c r="G52" s="1843">
        <v>136.5</v>
      </c>
      <c r="H52" s="1844"/>
      <c r="I52" s="1795">
        <f>ROUND(+G52*(1+'Løntabel gældende fra'!$D$7/100),2)</f>
        <v>158.22999999999999</v>
      </c>
      <c r="J52" s="1794"/>
    </row>
    <row r="53" spans="1:11" ht="16" customHeight="1" thickBot="1">
      <c r="A53" s="1848" t="s">
        <v>449</v>
      </c>
      <c r="B53" s="1849"/>
      <c r="C53" s="1849"/>
      <c r="D53" s="1849"/>
      <c r="E53" s="1849"/>
      <c r="F53" s="1850"/>
      <c r="G53" s="1795">
        <v>186.5</v>
      </c>
      <c r="H53" s="1794"/>
      <c r="I53" s="1795">
        <f>ROUND(+G53*(1+'Løntabel gældende fra'!$D$7/100),2)</f>
        <v>216.19</v>
      </c>
      <c r="J53" s="1794"/>
    </row>
    <row r="54" spans="1:11" ht="20" customHeight="1" thickBot="1">
      <c r="A54" s="803"/>
      <c r="B54" s="507"/>
      <c r="C54" s="507"/>
      <c r="D54" s="507"/>
      <c r="E54" s="507"/>
      <c r="F54" s="507"/>
      <c r="G54" s="803"/>
      <c r="H54" s="55"/>
      <c r="I54" s="55"/>
      <c r="J54" s="55"/>
      <c r="K54" s="55"/>
    </row>
    <row r="55" spans="1:11" ht="20" customHeight="1">
      <c r="A55" s="1153" t="s">
        <v>227</v>
      </c>
      <c r="B55" s="1154"/>
      <c r="C55" s="1154"/>
      <c r="D55" s="1154"/>
      <c r="E55" s="1154"/>
      <c r="F55" s="1154"/>
      <c r="G55" s="1154"/>
      <c r="H55" s="1154"/>
      <c r="I55" s="1154"/>
      <c r="J55" s="1155"/>
    </row>
    <row r="56" spans="1:11" ht="21" customHeight="1" thickBot="1">
      <c r="A56" s="1851" t="s">
        <v>390</v>
      </c>
      <c r="B56" s="1852"/>
      <c r="C56" s="1852"/>
      <c r="D56" s="1852"/>
      <c r="E56" s="1852"/>
      <c r="F56" s="1852"/>
      <c r="G56" s="1852"/>
      <c r="H56" s="1852"/>
      <c r="I56" s="1852"/>
      <c r="J56" s="1853"/>
    </row>
    <row r="57" spans="1:11" ht="16">
      <c r="A57" s="798"/>
      <c r="B57" s="799"/>
      <c r="C57" s="799"/>
      <c r="D57" s="799"/>
      <c r="E57" s="799"/>
      <c r="F57" s="802"/>
      <c r="G57" s="1839" t="s">
        <v>453</v>
      </c>
      <c r="H57" s="1840"/>
      <c r="I57" s="1839" t="s">
        <v>451</v>
      </c>
      <c r="J57" s="1840"/>
    </row>
    <row r="58" spans="1:11" ht="17" thickBot="1">
      <c r="A58" s="800"/>
      <c r="B58" s="801"/>
      <c r="C58" s="801"/>
      <c r="D58" s="801"/>
      <c r="E58" s="801"/>
      <c r="F58" s="739"/>
      <c r="G58" s="1841">
        <v>40999</v>
      </c>
      <c r="H58" s="1842"/>
      <c r="I58" s="1841" t="str">
        <f>'Løntabel gældende fra'!$D$1</f>
        <v>01/10/23</v>
      </c>
      <c r="J58" s="1842"/>
    </row>
    <row r="59" spans="1:11" ht="16" customHeight="1" thickBot="1">
      <c r="A59" s="810" t="s">
        <v>450</v>
      </c>
      <c r="B59" s="811"/>
      <c r="C59" s="811"/>
      <c r="D59" s="811"/>
      <c r="E59" s="811"/>
      <c r="F59" s="812"/>
      <c r="G59" s="1843">
        <v>300</v>
      </c>
      <c r="H59" s="1844"/>
      <c r="I59" s="1795">
        <f>ROUND(+G59*(1+'Løntabel gældende fra'!$D$7/100),2)</f>
        <v>347.76</v>
      </c>
      <c r="J59" s="1794"/>
    </row>
    <row r="60" spans="1:11" ht="20" customHeight="1" thickBot="1">
      <c r="A60" s="1868"/>
      <c r="B60" s="1868"/>
      <c r="C60" s="1868"/>
      <c r="D60" s="1868"/>
      <c r="E60" s="1868"/>
      <c r="F60" s="1868"/>
      <c r="G60" s="1868"/>
      <c r="H60" s="1868"/>
      <c r="I60" s="481"/>
      <c r="J60" s="10"/>
      <c r="K60" s="10"/>
    </row>
    <row r="61" spans="1:11" ht="20" customHeight="1" thickBot="1">
      <c r="A61" s="1207" t="s">
        <v>452</v>
      </c>
      <c r="B61" s="1208"/>
      <c r="C61" s="1208"/>
      <c r="D61" s="1208"/>
      <c r="E61" s="1208"/>
      <c r="F61" s="1208"/>
      <c r="G61" s="1208"/>
      <c r="H61" s="1209"/>
      <c r="I61" s="481"/>
      <c r="J61" s="10"/>
      <c r="K61" s="10"/>
    </row>
    <row r="62" spans="1:11" ht="20" customHeight="1" thickBot="1">
      <c r="A62" s="820"/>
      <c r="B62" s="821"/>
      <c r="C62" s="1869" t="s">
        <v>497</v>
      </c>
      <c r="D62" s="1706"/>
      <c r="E62" s="1712"/>
      <c r="F62" s="1869" t="s">
        <v>498</v>
      </c>
      <c r="G62" s="1706"/>
      <c r="H62" s="1712"/>
      <c r="I62" s="481"/>
      <c r="J62" s="10"/>
      <c r="K62" s="10"/>
    </row>
    <row r="63" spans="1:11" ht="20" customHeight="1">
      <c r="A63" s="804"/>
      <c r="B63" s="805"/>
      <c r="C63" s="1854" t="s">
        <v>131</v>
      </c>
      <c r="D63" s="1854" t="s">
        <v>131</v>
      </c>
      <c r="E63" s="1854" t="s">
        <v>278</v>
      </c>
      <c r="F63" s="1854" t="s">
        <v>131</v>
      </c>
      <c r="G63" s="1854" t="s">
        <v>131</v>
      </c>
      <c r="H63" s="1854" t="s">
        <v>278</v>
      </c>
      <c r="I63" s="808"/>
      <c r="J63" s="809"/>
      <c r="K63" s="809"/>
    </row>
    <row r="64" spans="1:11" ht="20" customHeight="1">
      <c r="A64" s="804"/>
      <c r="B64" s="805"/>
      <c r="C64" s="1855"/>
      <c r="D64" s="1855"/>
      <c r="E64" s="1855"/>
      <c r="F64" s="1855"/>
      <c r="G64" s="1855"/>
      <c r="H64" s="1855"/>
      <c r="I64" s="808"/>
      <c r="J64" s="809"/>
      <c r="K64" s="809"/>
    </row>
    <row r="65" spans="1:11" ht="20" customHeight="1" thickBot="1">
      <c r="A65" s="813"/>
      <c r="B65" s="822"/>
      <c r="C65" s="814">
        <f>G58</f>
        <v>40999</v>
      </c>
      <c r="D65" s="814" t="str">
        <f>I58</f>
        <v>01/10/23</v>
      </c>
      <c r="E65" s="814" t="str">
        <f>I58</f>
        <v>01/10/23</v>
      </c>
      <c r="F65" s="814">
        <f>C65</f>
        <v>40999</v>
      </c>
      <c r="G65" s="814" t="str">
        <f t="shared" ref="G65:H65" si="12">D65</f>
        <v>01/10/23</v>
      </c>
      <c r="H65" s="814" t="str">
        <f t="shared" si="12"/>
        <v>01/10/23</v>
      </c>
      <c r="I65" s="808"/>
      <c r="J65" s="809"/>
      <c r="K65" s="809"/>
    </row>
    <row r="66" spans="1:11" ht="16" customHeight="1" thickBot="1">
      <c r="A66" s="1864" t="s">
        <v>455</v>
      </c>
      <c r="B66" s="1865"/>
      <c r="C66" s="826"/>
      <c r="D66" s="826"/>
      <c r="E66" s="826"/>
      <c r="F66" s="826"/>
      <c r="G66" s="826"/>
      <c r="H66" s="826"/>
      <c r="I66" s="808"/>
      <c r="J66" s="809"/>
      <c r="K66" s="809"/>
    </row>
    <row r="67" spans="1:11" ht="16" customHeight="1">
      <c r="A67" s="1866" t="s">
        <v>383</v>
      </c>
      <c r="B67" s="1867"/>
      <c r="C67" s="816">
        <v>103542</v>
      </c>
      <c r="D67" s="817">
        <f>ROUND(C67+(C67*'Løntabel gældende fra'!$D$7%),2)</f>
        <v>120025.58</v>
      </c>
      <c r="E67" s="817">
        <f>ROUND(D67/12,2)</f>
        <v>10002.129999999999</v>
      </c>
      <c r="F67" s="817">
        <v>106163</v>
      </c>
      <c r="G67" s="817">
        <f>ROUND(F67+(F67*'Løntabel gældende fra'!$D$7%),2)</f>
        <v>123063.83</v>
      </c>
      <c r="H67" s="816">
        <f>ROUND(G67/12,2)</f>
        <v>10255.32</v>
      </c>
      <c r="I67" s="481"/>
      <c r="J67" s="10"/>
      <c r="K67" s="10"/>
    </row>
    <row r="68" spans="1:11" ht="16" customHeight="1">
      <c r="A68" s="1860" t="s">
        <v>382</v>
      </c>
      <c r="B68" s="1861"/>
      <c r="C68" s="818">
        <v>110751</v>
      </c>
      <c r="D68" s="817">
        <f>ROUND(C68+(C68*'Løntabel gældende fra'!$D$7%),2)</f>
        <v>128382.23</v>
      </c>
      <c r="E68" s="817">
        <f t="shared" ref="E68:E70" si="13">ROUND(D68/12,2)</f>
        <v>10698.52</v>
      </c>
      <c r="F68" s="818">
        <v>114027</v>
      </c>
      <c r="G68" s="817">
        <f>ROUND(F68+(F68*'Løntabel gældende fra'!$D$7%),2)</f>
        <v>132179.76</v>
      </c>
      <c r="H68" s="816">
        <f t="shared" ref="H68:H70" si="14">ROUND(G68/12,2)</f>
        <v>11014.98</v>
      </c>
      <c r="I68" s="481"/>
      <c r="J68" s="10"/>
      <c r="K68" s="10"/>
    </row>
    <row r="69" spans="1:11" ht="16" customHeight="1">
      <c r="A69" s="1860" t="s">
        <v>381</v>
      </c>
      <c r="B69" s="1861"/>
      <c r="C69" s="818">
        <v>117959</v>
      </c>
      <c r="D69" s="817">
        <f>ROUND(C69+(C69*'Løntabel gældende fra'!$D$7%),2)</f>
        <v>136737.72</v>
      </c>
      <c r="E69" s="817">
        <f t="shared" si="13"/>
        <v>11394.81</v>
      </c>
      <c r="F69" s="818">
        <v>121236</v>
      </c>
      <c r="G69" s="817">
        <f>ROUND(F69+(F69*'Løntabel gældende fra'!$D$7%),2)</f>
        <v>140536.41</v>
      </c>
      <c r="H69" s="816">
        <f t="shared" si="14"/>
        <v>11711.37</v>
      </c>
      <c r="I69" s="481"/>
      <c r="J69" s="10"/>
      <c r="K69" s="10"/>
    </row>
    <row r="70" spans="1:11" ht="16" customHeight="1" thickBot="1">
      <c r="A70" s="1862" t="s">
        <v>380</v>
      </c>
      <c r="B70" s="1863"/>
      <c r="C70" s="819">
        <v>126479</v>
      </c>
      <c r="D70" s="817">
        <f>ROUND(C70+(C70*'Løntabel gældende fra'!$D$7%),2)</f>
        <v>146614.07999999999</v>
      </c>
      <c r="E70" s="817">
        <f t="shared" si="13"/>
        <v>12217.84</v>
      </c>
      <c r="F70" s="819">
        <v>130411</v>
      </c>
      <c r="G70" s="817">
        <f>ROUND(F70+(F70*'Løntabel gældende fra'!$D$7%),2)</f>
        <v>151172.04</v>
      </c>
      <c r="H70" s="816">
        <f t="shared" si="14"/>
        <v>12597.67</v>
      </c>
      <c r="I70" s="481"/>
      <c r="J70" s="10"/>
      <c r="K70" s="10"/>
    </row>
    <row r="71" spans="1:11" ht="16" customHeight="1" thickBot="1">
      <c r="A71" s="1864" t="s">
        <v>454</v>
      </c>
      <c r="B71" s="1865"/>
      <c r="C71" s="823"/>
      <c r="D71" s="823"/>
      <c r="E71" s="823"/>
      <c r="F71" s="824"/>
      <c r="G71" s="823"/>
      <c r="H71" s="825"/>
      <c r="I71" s="481"/>
      <c r="J71" s="10"/>
      <c r="K71" s="10"/>
    </row>
    <row r="72" spans="1:11" ht="16" customHeight="1">
      <c r="A72" s="1866" t="s">
        <v>383</v>
      </c>
      <c r="B72" s="1867"/>
      <c r="C72" s="816">
        <v>130411</v>
      </c>
      <c r="D72" s="817">
        <f>ROUND(C72+(C72*'Løntabel gældende fra'!$D$7%),2)</f>
        <v>151172.04</v>
      </c>
      <c r="E72" s="817">
        <f>ROUND(D72/12,2)</f>
        <v>12597.67</v>
      </c>
      <c r="F72" s="817">
        <v>133687</v>
      </c>
      <c r="G72" s="817">
        <f>ROUND(F72+(F72*'Løntabel gældende fra'!$D$7%),2)</f>
        <v>154969.57</v>
      </c>
      <c r="H72" s="816">
        <f>ROUND(G72/12,2)</f>
        <v>12914.13</v>
      </c>
      <c r="I72" s="481"/>
      <c r="J72" s="10"/>
      <c r="K72" s="10"/>
    </row>
    <row r="73" spans="1:11" ht="16" customHeight="1">
      <c r="A73" s="1860" t="s">
        <v>382</v>
      </c>
      <c r="B73" s="1861"/>
      <c r="C73" s="818">
        <v>137619</v>
      </c>
      <c r="D73" s="817">
        <f>ROUND(C73+(C73*'Løntabel gældende fra'!$D$7%),2)</f>
        <v>159527.53</v>
      </c>
      <c r="E73" s="817">
        <f t="shared" ref="E73:E75" si="15">ROUND(D73/12,2)</f>
        <v>13293.96</v>
      </c>
      <c r="F73" s="818">
        <v>140896</v>
      </c>
      <c r="G73" s="817">
        <f>ROUND(F73+(F73*'Løntabel gældende fra'!$D$7%),2)</f>
        <v>163326.22</v>
      </c>
      <c r="H73" s="816">
        <f t="shared" ref="H73:H75" si="16">ROUND(G73/12,2)</f>
        <v>13610.52</v>
      </c>
      <c r="I73" s="481"/>
      <c r="J73" s="10"/>
      <c r="K73" s="10"/>
    </row>
    <row r="74" spans="1:11" ht="16" customHeight="1">
      <c r="A74" s="1860" t="s">
        <v>381</v>
      </c>
      <c r="B74" s="1861"/>
      <c r="C74" s="818">
        <v>147777</v>
      </c>
      <c r="D74" s="817">
        <f>ROUND(C74+(C74*'Løntabel gældende fra'!$D$7%),2)</f>
        <v>171302.66</v>
      </c>
      <c r="E74" s="817">
        <f t="shared" si="15"/>
        <v>14275.22</v>
      </c>
      <c r="F74" s="818">
        <v>152037</v>
      </c>
      <c r="G74" s="817">
        <f>ROUND(F74+(F74*'Løntabel gældende fra'!$D$7%),2)</f>
        <v>176240.83</v>
      </c>
      <c r="H74" s="816">
        <f t="shared" si="16"/>
        <v>14686.74</v>
      </c>
      <c r="I74" s="481"/>
      <c r="J74" s="10"/>
      <c r="K74" s="10"/>
    </row>
    <row r="75" spans="1:11" s="254" customFormat="1" ht="16" customHeight="1" thickBot="1">
      <c r="A75" s="1862" t="s">
        <v>380</v>
      </c>
      <c r="B75" s="1863"/>
      <c r="C75" s="819">
        <v>155641</v>
      </c>
      <c r="D75" s="817">
        <f>ROUND(C75+(C75*'Løntabel gældende fra'!$D$7%),2)</f>
        <v>180418.58</v>
      </c>
      <c r="E75" s="817">
        <f t="shared" si="15"/>
        <v>15034.88</v>
      </c>
      <c r="F75" s="819">
        <v>160556</v>
      </c>
      <c r="G75" s="817">
        <f>ROUND(F75+(F75*'Løntabel gældende fra'!$D$7%),2)</f>
        <v>186116.03</v>
      </c>
      <c r="H75" s="816">
        <f t="shared" si="16"/>
        <v>15509.67</v>
      </c>
      <c r="I75" s="481"/>
      <c r="J75" s="55"/>
      <c r="K75" s="55"/>
    </row>
    <row r="76" spans="1:11" ht="16" customHeight="1" thickBot="1">
      <c r="A76" s="827" t="s">
        <v>457</v>
      </c>
      <c r="B76" s="827"/>
      <c r="C76" s="823"/>
      <c r="D76" s="823"/>
      <c r="E76" s="823"/>
      <c r="F76" s="824"/>
      <c r="G76" s="823"/>
      <c r="H76" s="825"/>
      <c r="I76" s="481"/>
      <c r="J76" s="10"/>
      <c r="K76" s="10"/>
    </row>
    <row r="77" spans="1:11" ht="16" customHeight="1" thickBot="1">
      <c r="A77" s="1858" t="s">
        <v>458</v>
      </c>
      <c r="B77" s="1859"/>
      <c r="C77" s="815">
        <v>220533</v>
      </c>
      <c r="D77" s="815">
        <f>ROUND(C77+(C77*'Løntabel gældende fra'!$D$7%),2)</f>
        <v>255641.19</v>
      </c>
      <c r="E77" s="815">
        <f>ROUND(D77/12,2)</f>
        <v>21303.43</v>
      </c>
      <c r="F77" s="815">
        <v>222812</v>
      </c>
      <c r="G77" s="815">
        <f>ROUND(F77+(F77*'Løntabel gældende fra'!$D$7%),2)</f>
        <v>258283</v>
      </c>
      <c r="H77" s="828">
        <f>ROUND(G77/12,2)</f>
        <v>21523.58</v>
      </c>
      <c r="I77" s="481"/>
      <c r="J77" s="10"/>
      <c r="K77" s="10"/>
    </row>
    <row r="78" spans="1:11">
      <c r="A78" s="224"/>
      <c r="B78" s="224"/>
      <c r="C78" s="224"/>
      <c r="D78" s="225"/>
    </row>
    <row r="79" spans="1:11">
      <c r="D79" s="226"/>
    </row>
    <row r="80" spans="1:11">
      <c r="D80" s="226"/>
    </row>
    <row r="81" spans="4:4">
      <c r="D81" s="226"/>
    </row>
    <row r="82" spans="4:4">
      <c r="D82" s="227"/>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M38" sqref="M38"/>
    </sheetView>
  </sheetViews>
  <sheetFormatPr baseColWidth="10" defaultColWidth="8.83203125" defaultRowHeight="13"/>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640625" style="212" customWidth="1"/>
    <col min="9" max="9" width="11" style="212" customWidth="1"/>
    <col min="10" max="10" width="10.83203125" style="212" customWidth="1"/>
    <col min="11" max="16384" width="8.83203125" style="212"/>
  </cols>
  <sheetData>
    <row r="1" spans="1:12" ht="20.25" customHeight="1">
      <c r="A1" s="1872" t="s">
        <v>19</v>
      </c>
      <c r="B1" s="1873"/>
      <c r="C1" s="1873"/>
      <c r="D1" s="1873"/>
      <c r="E1" s="1873"/>
      <c r="F1" s="1873"/>
      <c r="G1" s="1873"/>
      <c r="H1" s="1873"/>
      <c r="I1" s="1873"/>
      <c r="J1" s="1874"/>
    </row>
    <row r="2" spans="1:12" ht="20" customHeight="1">
      <c r="A2" s="1875" t="s">
        <v>223</v>
      </c>
      <c r="B2" s="1876"/>
      <c r="C2" s="1876"/>
      <c r="D2" s="1876"/>
      <c r="E2" s="1876"/>
      <c r="F2" s="1876"/>
      <c r="G2" s="1876"/>
      <c r="H2" s="1876"/>
      <c r="I2" s="1876"/>
      <c r="J2" s="1877"/>
    </row>
    <row r="3" spans="1:12" ht="19.5" customHeight="1">
      <c r="A3" s="1878" t="s">
        <v>543</v>
      </c>
      <c r="B3" s="1879"/>
      <c r="C3" s="1879"/>
      <c r="D3" s="1879"/>
      <c r="E3" s="1879"/>
      <c r="F3" s="1879"/>
      <c r="G3" s="1879"/>
      <c r="H3" s="1879"/>
      <c r="I3" s="1879"/>
      <c r="J3" s="1880"/>
    </row>
    <row r="4" spans="1:12" ht="33" customHeight="1" thickBot="1">
      <c r="A4" s="1824" t="s">
        <v>236</v>
      </c>
      <c r="B4" s="1825"/>
      <c r="C4" s="1825"/>
      <c r="D4" s="1825"/>
      <c r="E4" s="1825"/>
      <c r="F4" s="1825"/>
      <c r="G4" s="1825"/>
      <c r="H4" s="1825"/>
      <c r="I4" s="1825"/>
      <c r="J4" s="1826"/>
    </row>
    <row r="5" spans="1:12" ht="15" thickBot="1">
      <c r="A5" s="228"/>
      <c r="B5" s="228"/>
      <c r="C5" s="228"/>
      <c r="D5" s="228"/>
      <c r="E5" s="259"/>
      <c r="F5" s="259"/>
      <c r="G5" s="259"/>
      <c r="H5" s="259"/>
    </row>
    <row r="6" spans="1:12" s="238" customFormat="1" ht="19" thickBot="1">
      <c r="A6" s="1702" t="s">
        <v>15</v>
      </c>
      <c r="B6" s="1703"/>
      <c r="C6" s="1703"/>
      <c r="D6" s="1704"/>
      <c r="E6" s="1881"/>
      <c r="F6" s="1881"/>
      <c r="G6" s="1881"/>
      <c r="H6" s="1881"/>
    </row>
    <row r="7" spans="1:12" s="238" customFormat="1" ht="15" customHeight="1" thickBot="1">
      <c r="A7" s="892" t="s">
        <v>220</v>
      </c>
      <c r="B7" s="552">
        <v>44287</v>
      </c>
      <c r="C7" s="552">
        <v>44652</v>
      </c>
      <c r="D7" s="893">
        <v>45017</v>
      </c>
      <c r="E7" s="247"/>
      <c r="F7" s="1882"/>
      <c r="G7" s="1882"/>
      <c r="H7" s="1882"/>
      <c r="I7" s="1882"/>
      <c r="J7" s="1882"/>
    </row>
    <row r="8" spans="1:12" s="238" customFormat="1" ht="14" customHeight="1">
      <c r="A8" s="894" t="s">
        <v>199</v>
      </c>
      <c r="B8" s="871">
        <v>27266.400000000001</v>
      </c>
      <c r="C8" s="871">
        <v>27879.9</v>
      </c>
      <c r="D8" s="470">
        <v>28507.200000000001</v>
      </c>
      <c r="E8" s="895"/>
      <c r="F8" s="1882"/>
      <c r="G8" s="1882"/>
      <c r="H8" s="1882"/>
      <c r="I8" s="1882"/>
      <c r="J8" s="1882"/>
    </row>
    <row r="9" spans="1:12" s="238" customFormat="1" ht="13.5" customHeight="1">
      <c r="A9" s="894" t="s">
        <v>221</v>
      </c>
      <c r="B9" s="871">
        <v>24113.68</v>
      </c>
      <c r="C9" s="871">
        <v>24656.240000000002</v>
      </c>
      <c r="D9" s="470">
        <v>25211</v>
      </c>
      <c r="E9" s="895"/>
      <c r="F9" s="1882"/>
      <c r="G9" s="1882"/>
      <c r="H9" s="1882"/>
      <c r="I9" s="1882"/>
      <c r="J9" s="1882"/>
    </row>
    <row r="10" spans="1:12" s="238" customFormat="1" ht="15" customHeight="1" thickBot="1">
      <c r="A10" s="898" t="s">
        <v>200</v>
      </c>
      <c r="B10" s="872">
        <v>23513.7</v>
      </c>
      <c r="C10" s="872">
        <v>24042.75</v>
      </c>
      <c r="D10" s="471">
        <v>24583.72</v>
      </c>
      <c r="E10" s="895"/>
      <c r="F10" s="896"/>
      <c r="G10" s="897"/>
      <c r="H10" s="897"/>
      <c r="I10" s="241"/>
      <c r="J10" s="239"/>
      <c r="L10" s="240"/>
    </row>
    <row r="11" spans="1:12" s="238" customFormat="1" ht="15" thickBot="1">
      <c r="B11" s="239"/>
      <c r="C11" s="239"/>
      <c r="D11" s="239"/>
      <c r="E11" s="264"/>
      <c r="F11" s="264"/>
      <c r="G11" s="264"/>
      <c r="H11" s="264"/>
    </row>
    <row r="12" spans="1:12" s="238" customFormat="1" ht="19" thickBot="1">
      <c r="A12" s="1702" t="s">
        <v>170</v>
      </c>
      <c r="B12" s="1703"/>
      <c r="C12" s="1703"/>
      <c r="D12" s="1704"/>
    </row>
    <row r="13" spans="1:12" s="238" customFormat="1" ht="15" customHeight="1" thickBot="1">
      <c r="A13" s="1883" t="s">
        <v>171</v>
      </c>
      <c r="B13" s="1884"/>
      <c r="C13" s="1884"/>
      <c r="D13" s="1885"/>
    </row>
    <row r="14" spans="1:12" s="238" customFormat="1" ht="16" customHeight="1" thickBot="1">
      <c r="A14" s="899" t="s">
        <v>192</v>
      </c>
      <c r="B14" s="957">
        <v>44287</v>
      </c>
      <c r="C14" s="957">
        <v>44652</v>
      </c>
      <c r="D14" s="956">
        <v>45017</v>
      </c>
    </row>
    <row r="15" spans="1:12" s="238" customFormat="1" ht="16" customHeight="1" thickBot="1">
      <c r="A15" s="900" t="s">
        <v>193</v>
      </c>
      <c r="B15" s="873">
        <v>131.72999999999999</v>
      </c>
      <c r="C15" s="873">
        <v>134.69</v>
      </c>
      <c r="D15" s="831">
        <v>137.72</v>
      </c>
      <c r="F15" s="239"/>
      <c r="G15" s="239"/>
      <c r="H15" s="239"/>
      <c r="I15" s="239"/>
      <c r="J15" s="239"/>
    </row>
    <row r="16" spans="1:12" s="238" customFormat="1" ht="16" customHeight="1" thickBot="1">
      <c r="A16" s="247"/>
      <c r="B16" s="832"/>
      <c r="C16" s="832"/>
      <c r="D16" s="832"/>
      <c r="F16" s="239"/>
      <c r="G16" s="239"/>
      <c r="H16" s="239"/>
      <c r="I16" s="239"/>
      <c r="J16" s="239"/>
    </row>
    <row r="17" spans="1:10" s="238" customFormat="1" ht="16" customHeight="1" thickBot="1">
      <c r="A17" s="1731" t="s">
        <v>197</v>
      </c>
      <c r="B17" s="1732"/>
      <c r="C17" s="1732"/>
      <c r="D17" s="1703"/>
      <c r="E17" s="1704"/>
      <c r="F17" s="239"/>
      <c r="G17" s="239"/>
      <c r="H17" s="239"/>
      <c r="I17" s="239"/>
      <c r="J17" s="239"/>
    </row>
    <row r="18" spans="1:10" s="238" customFormat="1" ht="16" customHeight="1" thickBot="1">
      <c r="A18" s="934" t="s">
        <v>198</v>
      </c>
      <c r="B18" s="935"/>
      <c r="C18" s="315">
        <v>44287</v>
      </c>
      <c r="D18" s="315">
        <v>44652</v>
      </c>
      <c r="E18" s="901">
        <v>45017</v>
      </c>
      <c r="F18" s="239"/>
      <c r="G18" s="239"/>
      <c r="H18" s="239"/>
      <c r="I18" s="239"/>
      <c r="J18" s="239"/>
    </row>
    <row r="19" spans="1:10" s="238" customFormat="1" ht="16" customHeight="1">
      <c r="A19" s="313" t="s">
        <v>194</v>
      </c>
      <c r="B19" s="314"/>
      <c r="C19" s="902">
        <v>70.849999999999994</v>
      </c>
      <c r="D19" s="902">
        <v>72.44</v>
      </c>
      <c r="E19" s="466">
        <v>74.069999999999993</v>
      </c>
      <c r="F19" s="239"/>
      <c r="G19" s="239"/>
      <c r="H19" s="239"/>
      <c r="I19" s="239"/>
      <c r="J19" s="239"/>
    </row>
    <row r="20" spans="1:10" s="238" customFormat="1" ht="16" customHeight="1">
      <c r="A20" s="317" t="s">
        <v>195</v>
      </c>
      <c r="B20" s="316"/>
      <c r="C20" s="903">
        <v>80.53</v>
      </c>
      <c r="D20" s="903">
        <v>82.34</v>
      </c>
      <c r="E20" s="467">
        <v>84.2</v>
      </c>
      <c r="F20" s="239"/>
      <c r="G20" s="239"/>
      <c r="H20" s="239"/>
      <c r="I20" s="239"/>
      <c r="J20" s="239"/>
    </row>
    <row r="21" spans="1:10" s="238" customFormat="1" ht="16" customHeight="1" thickBot="1">
      <c r="A21" s="318" t="s">
        <v>196</v>
      </c>
      <c r="B21" s="319"/>
      <c r="C21" s="904">
        <v>92.16</v>
      </c>
      <c r="D21" s="904">
        <v>94.23</v>
      </c>
      <c r="E21" s="469">
        <v>96.35</v>
      </c>
      <c r="F21" s="239"/>
      <c r="G21" s="239"/>
      <c r="H21" s="239"/>
      <c r="I21" s="239"/>
      <c r="J21" s="239"/>
    </row>
    <row r="22" spans="1:10" s="238" customFormat="1" ht="15" thickBot="1">
      <c r="A22" s="247"/>
      <c r="B22" s="246"/>
      <c r="C22" s="246"/>
      <c r="D22" s="246"/>
      <c r="G22" s="264"/>
    </row>
    <row r="23" spans="1:10" s="238" customFormat="1" ht="19" thickBot="1">
      <c r="A23" s="1886" t="s">
        <v>172</v>
      </c>
      <c r="B23" s="1887"/>
      <c r="C23" s="1887"/>
      <c r="D23" s="1887"/>
      <c r="E23" s="1887"/>
      <c r="F23" s="1888"/>
      <c r="G23" s="905"/>
    </row>
    <row r="24" spans="1:10" s="238" customFormat="1" ht="15" thickBot="1">
      <c r="A24" s="1870"/>
      <c r="B24" s="1871"/>
      <c r="C24" s="1871"/>
      <c r="D24" s="837">
        <v>44287</v>
      </c>
      <c r="E24" s="837">
        <v>44652</v>
      </c>
      <c r="F24" s="906">
        <v>45017</v>
      </c>
      <c r="G24" s="907"/>
    </row>
    <row r="25" spans="1:10" s="238" customFormat="1" ht="14" customHeight="1">
      <c r="A25" s="1889" t="s">
        <v>203</v>
      </c>
      <c r="B25" s="1890"/>
      <c r="C25" s="344" t="s">
        <v>165</v>
      </c>
      <c r="D25" s="908">
        <v>35.42</v>
      </c>
      <c r="E25" s="908">
        <v>36.22</v>
      </c>
      <c r="F25" s="463">
        <v>37.04</v>
      </c>
      <c r="G25" s="909"/>
    </row>
    <row r="26" spans="1:10" s="238" customFormat="1" ht="14">
      <c r="A26" s="1891" t="s">
        <v>204</v>
      </c>
      <c r="B26" s="1892"/>
      <c r="C26" s="955" t="s">
        <v>165</v>
      </c>
      <c r="D26" s="910">
        <v>53.14</v>
      </c>
      <c r="E26" s="910">
        <v>54.33</v>
      </c>
      <c r="F26" s="464">
        <v>55.55</v>
      </c>
      <c r="G26" s="909"/>
    </row>
    <row r="27" spans="1:10" s="238" customFormat="1" ht="23" customHeight="1">
      <c r="A27" s="1893" t="s">
        <v>201</v>
      </c>
      <c r="B27" s="1894"/>
      <c r="C27" s="955" t="s">
        <v>165</v>
      </c>
      <c r="D27" s="910">
        <v>57.84</v>
      </c>
      <c r="E27" s="910">
        <v>59.14</v>
      </c>
      <c r="F27" s="464">
        <v>60.47</v>
      </c>
      <c r="G27" s="909"/>
    </row>
    <row r="28" spans="1:10" s="238" customFormat="1" ht="15.75" customHeight="1" thickBot="1">
      <c r="A28" s="1895" t="s">
        <v>202</v>
      </c>
      <c r="B28" s="1896"/>
      <c r="C28" s="320" t="s">
        <v>165</v>
      </c>
      <c r="D28" s="911">
        <v>20.76</v>
      </c>
      <c r="E28" s="911">
        <v>21.22</v>
      </c>
      <c r="F28" s="465">
        <v>21.7</v>
      </c>
      <c r="G28" s="909"/>
    </row>
    <row r="29" spans="1:10" s="238" customFormat="1" ht="15" thickBot="1">
      <c r="A29" s="228"/>
      <c r="B29" s="228"/>
      <c r="C29" s="228"/>
      <c r="D29" s="228"/>
      <c r="E29" s="228"/>
      <c r="F29" s="229"/>
      <c r="G29" s="228"/>
    </row>
    <row r="30" spans="1:10" s="238" customFormat="1" ht="19" thickBot="1">
      <c r="A30" s="1731" t="s">
        <v>206</v>
      </c>
      <c r="B30" s="1703"/>
      <c r="C30" s="1703"/>
      <c r="D30" s="1703"/>
      <c r="E30" s="1703"/>
      <c r="F30" s="1703"/>
      <c r="G30" s="1703"/>
      <c r="H30" s="1703"/>
      <c r="I30" s="1703"/>
      <c r="J30" s="1704"/>
    </row>
    <row r="31" spans="1:10" s="238" customFormat="1" ht="15" customHeight="1" thickBot="1">
      <c r="A31" s="1897" t="s">
        <v>207</v>
      </c>
      <c r="B31" s="1899" t="s">
        <v>212</v>
      </c>
      <c r="C31" s="1900"/>
      <c r="D31" s="1901"/>
      <c r="E31" s="1899" t="s">
        <v>214</v>
      </c>
      <c r="F31" s="1900"/>
      <c r="G31" s="1901"/>
      <c r="H31" s="1899" t="s">
        <v>213</v>
      </c>
      <c r="I31" s="1900"/>
      <c r="J31" s="1901"/>
    </row>
    <row r="32" spans="1:10" s="238" customFormat="1" ht="15" thickBot="1">
      <c r="A32" s="1898"/>
      <c r="B32" s="968">
        <v>44287</v>
      </c>
      <c r="C32" s="310">
        <v>44652</v>
      </c>
      <c r="D32" s="969">
        <v>45017</v>
      </c>
      <c r="E32" s="968">
        <v>44287</v>
      </c>
      <c r="F32" s="968">
        <v>44652</v>
      </c>
      <c r="G32" s="969">
        <v>45017</v>
      </c>
      <c r="H32" s="971">
        <v>44287</v>
      </c>
      <c r="I32" s="984">
        <v>44652</v>
      </c>
      <c r="J32" s="972">
        <v>45017</v>
      </c>
    </row>
    <row r="33" spans="1:10" s="238" customFormat="1" ht="15" customHeight="1">
      <c r="A33" s="308" t="s">
        <v>208</v>
      </c>
      <c r="B33" s="936">
        <v>618.26</v>
      </c>
      <c r="C33" s="982">
        <v>632.16999999999996</v>
      </c>
      <c r="D33" s="973">
        <v>646.39</v>
      </c>
      <c r="E33" s="937">
        <v>927.66</v>
      </c>
      <c r="F33" s="988">
        <v>948.53</v>
      </c>
      <c r="G33" s="975">
        <v>969.88</v>
      </c>
      <c r="H33" s="974">
        <v>1236.51</v>
      </c>
      <c r="I33" s="985">
        <v>1264.3399999999999</v>
      </c>
      <c r="J33" s="975">
        <v>1292.78</v>
      </c>
    </row>
    <row r="34" spans="1:10" s="238" customFormat="1" ht="15" customHeight="1">
      <c r="A34" s="308" t="s">
        <v>209</v>
      </c>
      <c r="B34" s="938">
        <v>618.26</v>
      </c>
      <c r="C34" s="875">
        <v>632.16999999999996</v>
      </c>
      <c r="D34" s="973">
        <v>646.39</v>
      </c>
      <c r="E34" s="940">
        <v>927.66</v>
      </c>
      <c r="F34" s="940">
        <v>948.53</v>
      </c>
      <c r="G34" s="283">
        <v>969.88</v>
      </c>
      <c r="H34" s="939">
        <v>1236.51</v>
      </c>
      <c r="I34" s="913">
        <v>1264.3399999999999</v>
      </c>
      <c r="J34" s="975">
        <v>1292.78</v>
      </c>
    </row>
    <row r="35" spans="1:10" s="238" customFormat="1" ht="15" customHeight="1">
      <c r="A35" s="308" t="s">
        <v>210</v>
      </c>
      <c r="B35" s="938">
        <v>618.26</v>
      </c>
      <c r="C35" s="875">
        <v>632.16999999999996</v>
      </c>
      <c r="D35" s="973">
        <v>646.39</v>
      </c>
      <c r="E35" s="940">
        <v>1236.51</v>
      </c>
      <c r="F35" s="940">
        <v>1264.3399999999999</v>
      </c>
      <c r="G35" s="283">
        <v>1292.78</v>
      </c>
      <c r="H35" s="939">
        <v>1854.77</v>
      </c>
      <c r="I35" s="875">
        <v>1896.5</v>
      </c>
      <c r="J35" s="833">
        <v>1939.17</v>
      </c>
    </row>
    <row r="36" spans="1:10" s="238" customFormat="1" ht="15" customHeight="1">
      <c r="A36" s="308" t="s">
        <v>490</v>
      </c>
      <c r="B36" s="938">
        <v>618.26</v>
      </c>
      <c r="C36" s="875">
        <v>632.16999999999996</v>
      </c>
      <c r="D36" s="973">
        <v>646.39</v>
      </c>
      <c r="E36" s="940">
        <v>1236.51</v>
      </c>
      <c r="F36" s="940">
        <v>1264.3399999999999</v>
      </c>
      <c r="G36" s="283">
        <v>1292.78</v>
      </c>
      <c r="H36" s="939">
        <v>1854.77</v>
      </c>
      <c r="I36" s="875">
        <v>1896.5</v>
      </c>
      <c r="J36" s="833">
        <v>1939.17</v>
      </c>
    </row>
    <row r="37" spans="1:10" s="238" customFormat="1" ht="15" customHeight="1" thickBot="1">
      <c r="A37" s="309" t="s">
        <v>211</v>
      </c>
      <c r="B37" s="943">
        <v>1854.77</v>
      </c>
      <c r="C37" s="876">
        <v>1896.5</v>
      </c>
      <c r="D37" s="834">
        <v>1939.17</v>
      </c>
      <c r="E37" s="941">
        <v>2473.0300000000002</v>
      </c>
      <c r="F37" s="941">
        <v>2528.67</v>
      </c>
      <c r="G37" s="289">
        <v>2585.5700000000002</v>
      </c>
      <c r="H37" s="942">
        <v>3091.29</v>
      </c>
      <c r="I37" s="915">
        <v>3160.84</v>
      </c>
      <c r="J37" s="289">
        <v>3231.96</v>
      </c>
    </row>
    <row r="38" spans="1:10" s="238" customFormat="1" ht="15" thickBot="1">
      <c r="A38" s="228"/>
      <c r="B38" s="228"/>
      <c r="C38" s="228"/>
      <c r="D38" s="228"/>
      <c r="E38" s="228"/>
      <c r="F38" s="229"/>
      <c r="G38" s="228"/>
    </row>
    <row r="39" spans="1:10" s="238" customFormat="1" ht="19" thickBot="1">
      <c r="A39" s="1702" t="s">
        <v>215</v>
      </c>
      <c r="B39" s="1703"/>
      <c r="C39" s="1703"/>
      <c r="D39" s="1703"/>
      <c r="E39" s="1703"/>
      <c r="F39" s="1703"/>
      <c r="G39" s="1703"/>
      <c r="H39" s="1703"/>
      <c r="I39" s="1703"/>
      <c r="J39" s="1704"/>
    </row>
    <row r="40" spans="1:10" s="238" customFormat="1" ht="15" customHeight="1" thickBot="1">
      <c r="A40" s="1897" t="s">
        <v>207</v>
      </c>
      <c r="B40" s="1899" t="s">
        <v>212</v>
      </c>
      <c r="C40" s="1900"/>
      <c r="D40" s="1901"/>
      <c r="E40" s="1900" t="s">
        <v>214</v>
      </c>
      <c r="F40" s="1900"/>
      <c r="G40" s="1900"/>
      <c r="H40" s="1899" t="s">
        <v>213</v>
      </c>
      <c r="I40" s="1900"/>
      <c r="J40" s="1901"/>
    </row>
    <row r="41" spans="1:10" s="238" customFormat="1" ht="15" thickBot="1">
      <c r="A41" s="1898"/>
      <c r="B41" s="311">
        <v>44287</v>
      </c>
      <c r="C41" s="968">
        <v>44652</v>
      </c>
      <c r="D41" s="969">
        <v>45017</v>
      </c>
      <c r="E41" s="970">
        <v>44287</v>
      </c>
      <c r="F41" s="968">
        <v>44652</v>
      </c>
      <c r="G41" s="969">
        <v>45017</v>
      </c>
      <c r="H41" s="312">
        <v>44287</v>
      </c>
      <c r="I41" s="989">
        <v>44652</v>
      </c>
      <c r="J41" s="972">
        <v>45017</v>
      </c>
    </row>
    <row r="42" spans="1:10" s="238" customFormat="1" ht="15" customHeight="1">
      <c r="A42" s="306" t="s">
        <v>216</v>
      </c>
      <c r="B42" s="874">
        <v>618.26</v>
      </c>
      <c r="C42" s="936">
        <v>632.16999999999996</v>
      </c>
      <c r="D42" s="973">
        <v>646.39</v>
      </c>
      <c r="E42" s="912">
        <v>1236.51</v>
      </c>
      <c r="F42" s="937">
        <v>1264.3399999999999</v>
      </c>
      <c r="G42" s="991">
        <v>1292.78</v>
      </c>
      <c r="H42" s="990">
        <v>1854.77</v>
      </c>
      <c r="I42" s="936">
        <v>1896.5</v>
      </c>
      <c r="J42" s="973">
        <v>1939.17</v>
      </c>
    </row>
    <row r="43" spans="1:10" s="238" customFormat="1" ht="15" customHeight="1">
      <c r="A43" s="306" t="s">
        <v>211</v>
      </c>
      <c r="B43" s="875">
        <v>1854.77</v>
      </c>
      <c r="C43" s="938">
        <v>1896.5</v>
      </c>
      <c r="D43" s="833">
        <v>1939.17</v>
      </c>
      <c r="E43" s="914">
        <v>2473.0300000000002</v>
      </c>
      <c r="F43" s="940">
        <v>2528.67</v>
      </c>
      <c r="G43" s="283">
        <v>2585.5700000000002</v>
      </c>
      <c r="H43" s="914">
        <v>3091.29</v>
      </c>
      <c r="I43" s="940">
        <v>3160.84</v>
      </c>
      <c r="J43" s="283">
        <v>3231.96</v>
      </c>
    </row>
    <row r="44" spans="1:10" s="238" customFormat="1" ht="15" customHeight="1">
      <c r="A44" s="306" t="s">
        <v>217</v>
      </c>
      <c r="B44" s="913">
        <v>1236.51</v>
      </c>
      <c r="C44" s="940">
        <v>1264.3399999999999</v>
      </c>
      <c r="D44" s="283">
        <v>1292.78</v>
      </c>
      <c r="E44" s="986">
        <v>1854.77</v>
      </c>
      <c r="F44" s="938">
        <v>1896.5</v>
      </c>
      <c r="G44" s="833">
        <v>1939.17</v>
      </c>
      <c r="H44" s="914">
        <v>2473.0300000000002</v>
      </c>
      <c r="I44" s="940">
        <v>2528.67</v>
      </c>
      <c r="J44" s="283">
        <v>2585.5700000000002</v>
      </c>
    </row>
    <row r="45" spans="1:10" s="238" customFormat="1" ht="15" customHeight="1">
      <c r="A45" s="306" t="s">
        <v>218</v>
      </c>
      <c r="B45" s="913">
        <v>1236.51</v>
      </c>
      <c r="C45" s="940">
        <v>1264.3399999999999</v>
      </c>
      <c r="D45" s="283">
        <v>1292.78</v>
      </c>
      <c r="E45" s="914">
        <v>1236.51</v>
      </c>
      <c r="F45" s="940">
        <v>1264.3399999999999</v>
      </c>
      <c r="G45" s="983">
        <v>1292.78</v>
      </c>
      <c r="H45" s="914">
        <v>1236.51</v>
      </c>
      <c r="I45" s="940">
        <v>1264.3399999999999</v>
      </c>
      <c r="J45" s="983">
        <v>1292.78</v>
      </c>
    </row>
    <row r="46" spans="1:10" s="238" customFormat="1" ht="15" customHeight="1">
      <c r="A46" s="306" t="s">
        <v>327</v>
      </c>
      <c r="B46" s="875">
        <v>618.26</v>
      </c>
      <c r="C46" s="938">
        <v>632.16999999999996</v>
      </c>
      <c r="D46" s="833">
        <v>646.39</v>
      </c>
      <c r="E46" s="986">
        <v>927.66</v>
      </c>
      <c r="F46" s="938">
        <v>948.53</v>
      </c>
      <c r="G46" s="283">
        <v>969.88</v>
      </c>
      <c r="H46" s="914">
        <v>1236.51</v>
      </c>
      <c r="I46" s="940">
        <v>1264.3399999999999</v>
      </c>
      <c r="J46" s="983">
        <v>1292.78</v>
      </c>
    </row>
    <row r="47" spans="1:10" s="238" customFormat="1" ht="15" customHeight="1" thickBot="1">
      <c r="A47" s="307" t="s">
        <v>219</v>
      </c>
      <c r="B47" s="915">
        <v>1236.51</v>
      </c>
      <c r="C47" s="941">
        <v>1264.3399999999999</v>
      </c>
      <c r="D47" s="289">
        <v>1292.78</v>
      </c>
      <c r="E47" s="987">
        <v>1854.77</v>
      </c>
      <c r="F47" s="943">
        <v>1896.5</v>
      </c>
      <c r="G47" s="834">
        <v>1939.17</v>
      </c>
      <c r="H47" s="916">
        <v>2473.0300000000002</v>
      </c>
      <c r="I47" s="941">
        <v>2528.67</v>
      </c>
      <c r="J47" s="289">
        <v>2585.5700000000002</v>
      </c>
    </row>
    <row r="48" spans="1:10" s="238" customFormat="1" ht="9" customHeight="1">
      <c r="A48" s="917"/>
      <c r="B48" s="835"/>
      <c r="C48" s="835"/>
      <c r="D48" s="918"/>
      <c r="E48" s="835"/>
      <c r="F48" s="835"/>
      <c r="G48" s="918"/>
      <c r="H48" s="919"/>
      <c r="I48" s="918"/>
      <c r="J48" s="918"/>
    </row>
    <row r="49" spans="1:10" s="238" customFormat="1" ht="15" customHeight="1">
      <c r="A49" s="238" t="s">
        <v>239</v>
      </c>
      <c r="F49" s="305"/>
      <c r="G49" s="228"/>
      <c r="H49" s="919"/>
      <c r="I49" s="918"/>
      <c r="J49" s="918"/>
    </row>
    <row r="50" spans="1:10" s="238" customFormat="1" ht="12" customHeight="1">
      <c r="A50" s="477" t="s">
        <v>205</v>
      </c>
      <c r="F50" s="305"/>
      <c r="G50" s="228"/>
      <c r="H50" s="919"/>
      <c r="I50" s="918"/>
      <c r="J50" s="918"/>
    </row>
    <row r="51" spans="1:10" s="238" customFormat="1" ht="12" customHeight="1">
      <c r="A51" s="477" t="s">
        <v>491</v>
      </c>
      <c r="F51" s="305"/>
      <c r="G51" s="228"/>
      <c r="H51" s="919"/>
      <c r="I51" s="918"/>
      <c r="J51" s="918"/>
    </row>
    <row r="52" spans="1:10" s="238" customFormat="1" ht="22" customHeight="1" thickBot="1">
      <c r="A52" s="944" t="s">
        <v>492</v>
      </c>
    </row>
    <row r="53" spans="1:10" s="238" customFormat="1" ht="19" thickBot="1">
      <c r="A53" s="1702" t="s">
        <v>237</v>
      </c>
      <c r="B53" s="1703"/>
      <c r="C53" s="1703"/>
      <c r="D53" s="1703"/>
      <c r="E53" s="1703"/>
      <c r="F53" s="1703"/>
      <c r="G53" s="1704"/>
      <c r="H53" s="240"/>
    </row>
    <row r="54" spans="1:10" s="238" customFormat="1" ht="16" customHeight="1" thickBot="1">
      <c r="A54" s="1883" t="s">
        <v>493</v>
      </c>
      <c r="B54" s="1884"/>
      <c r="C54" s="1884"/>
      <c r="D54" s="1884"/>
      <c r="E54" s="1884"/>
      <c r="F54" s="1884"/>
      <c r="G54" s="1885"/>
    </row>
    <row r="55" spans="1:10" s="238" customFormat="1" ht="16" customHeight="1" thickBot="1">
      <c r="A55" s="838"/>
      <c r="B55" s="1906">
        <v>44287</v>
      </c>
      <c r="C55" s="1907"/>
      <c r="D55" s="1906">
        <v>44652</v>
      </c>
      <c r="E55" s="1907"/>
      <c r="F55" s="1908">
        <v>45017</v>
      </c>
      <c r="G55" s="1909"/>
    </row>
    <row r="56" spans="1:10" s="238" customFormat="1" ht="16" customHeight="1" thickBot="1">
      <c r="A56" s="900" t="s">
        <v>238</v>
      </c>
      <c r="B56" s="1910">
        <v>2.25</v>
      </c>
      <c r="C56" s="1911"/>
      <c r="D56" s="1912">
        <v>2.25</v>
      </c>
      <c r="E56" s="1913"/>
      <c r="F56" s="1914">
        <v>2.25</v>
      </c>
      <c r="G56" s="1915"/>
      <c r="H56" s="231"/>
    </row>
    <row r="57" spans="1:10" s="238" customFormat="1" ht="15" thickBot="1">
      <c r="A57" s="920"/>
      <c r="B57" s="921"/>
      <c r="C57" s="836"/>
      <c r="D57" s="836"/>
    </row>
    <row r="58" spans="1:10" s="238" customFormat="1" ht="19" thickBot="1">
      <c r="A58" s="1702" t="s">
        <v>430</v>
      </c>
      <c r="B58" s="1703"/>
      <c r="C58" s="1703"/>
      <c r="D58" s="1703"/>
      <c r="E58" s="1704"/>
    </row>
    <row r="59" spans="1:10" s="238" customFormat="1" ht="16" customHeight="1" thickBot="1">
      <c r="A59" s="1883" t="s">
        <v>432</v>
      </c>
      <c r="B59" s="1884"/>
      <c r="C59" s="1884"/>
      <c r="D59" s="1884"/>
      <c r="E59" s="1885"/>
    </row>
    <row r="60" spans="1:10" s="238" customFormat="1" ht="16" customHeight="1" thickBot="1">
      <c r="A60" s="1902"/>
      <c r="B60" s="1903"/>
      <c r="C60" s="945">
        <v>44287</v>
      </c>
      <c r="D60" s="945">
        <v>44652</v>
      </c>
      <c r="E60" s="922">
        <v>45017</v>
      </c>
    </row>
    <row r="61" spans="1:10" s="238" customFormat="1" ht="16" customHeight="1" thickBot="1">
      <c r="A61" s="1904" t="s">
        <v>431</v>
      </c>
      <c r="B61" s="1905"/>
      <c r="C61" s="946">
        <v>3320.99</v>
      </c>
      <c r="D61" s="946">
        <v>3395.71</v>
      </c>
      <c r="E61" s="923">
        <v>3472.11</v>
      </c>
    </row>
    <row r="62" spans="1:10" s="238" customFormat="1" ht="14">
      <c r="A62" s="924"/>
      <c r="B62" s="924"/>
      <c r="C62" s="925"/>
      <c r="D62" s="925"/>
    </row>
    <row r="63" spans="1:10" ht="14">
      <c r="A63" s="924"/>
      <c r="B63" s="924"/>
      <c r="C63" s="925"/>
      <c r="D63" s="925"/>
      <c r="E63" s="238"/>
      <c r="F63" s="238"/>
      <c r="G63" s="238"/>
      <c r="H63" s="238"/>
      <c r="I63" s="238"/>
      <c r="J63" s="238"/>
    </row>
    <row r="64" spans="1:10" ht="14">
      <c r="A64" s="926"/>
      <c r="B64" s="926"/>
      <c r="C64" s="927"/>
      <c r="D64" s="925"/>
      <c r="E64" s="509"/>
      <c r="F64" s="509"/>
      <c r="G64" s="509"/>
      <c r="H64" s="509"/>
      <c r="I64" s="238"/>
      <c r="J64" s="238"/>
    </row>
    <row r="65" spans="1:10" ht="14">
      <c r="A65" s="926"/>
      <c r="B65" s="926"/>
      <c r="C65" s="927"/>
      <c r="D65" s="925"/>
      <c r="E65" s="238"/>
      <c r="F65" s="238"/>
      <c r="G65" s="238"/>
      <c r="H65" s="238"/>
      <c r="I65" s="238"/>
      <c r="J65" s="238"/>
    </row>
    <row r="66" spans="1:10" ht="14">
      <c r="A66" s="264"/>
      <c r="B66" s="264"/>
      <c r="C66" s="264"/>
      <c r="D66" s="264"/>
      <c r="E66" s="238"/>
      <c r="F66" s="238"/>
      <c r="G66" s="238"/>
      <c r="H66" s="238"/>
      <c r="I66" s="238"/>
      <c r="J66" s="238"/>
    </row>
    <row r="67" spans="1:10" ht="14">
      <c r="A67" s="238"/>
      <c r="B67" s="238"/>
      <c r="C67" s="238"/>
      <c r="D67" s="238"/>
      <c r="E67" s="238"/>
      <c r="F67" s="238"/>
      <c r="G67" s="238"/>
      <c r="H67" s="238"/>
      <c r="I67" s="238"/>
      <c r="J67" s="238"/>
    </row>
    <row r="68" spans="1:10" ht="14">
      <c r="A68" s="238"/>
      <c r="B68" s="238"/>
      <c r="C68" s="238"/>
      <c r="D68" s="238"/>
      <c r="E68" s="238"/>
      <c r="F68" s="238"/>
      <c r="G68" s="238"/>
      <c r="H68" s="238"/>
      <c r="I68" s="238"/>
      <c r="J68" s="238"/>
    </row>
    <row r="69" spans="1:10" ht="14">
      <c r="A69" s="238"/>
      <c r="B69" s="238"/>
      <c r="C69" s="238"/>
      <c r="D69" s="238"/>
      <c r="E69" s="238"/>
      <c r="F69" s="238"/>
      <c r="G69" s="238"/>
      <c r="H69" s="238"/>
      <c r="I69" s="238"/>
      <c r="J69" s="238"/>
    </row>
    <row r="70" spans="1:10" ht="14">
      <c r="A70" s="238"/>
      <c r="B70" s="238"/>
      <c r="C70" s="238"/>
      <c r="D70" s="238"/>
    </row>
    <row r="71" spans="1:10" ht="14">
      <c r="A71" s="509"/>
      <c r="B71" s="509"/>
      <c r="C71" s="509"/>
      <c r="D71" s="509"/>
    </row>
    <row r="72" spans="1:10" s="238" customFormat="1" ht="14">
      <c r="A72" s="509"/>
      <c r="E72" s="212"/>
      <c r="F72" s="212"/>
      <c r="G72" s="212"/>
      <c r="H72" s="212"/>
      <c r="I72" s="212"/>
      <c r="J72" s="212"/>
    </row>
    <row r="73" spans="1:10" s="238" customFormat="1" ht="14">
      <c r="E73" s="212"/>
      <c r="F73" s="212"/>
      <c r="G73" s="212"/>
      <c r="H73" s="212"/>
      <c r="I73" s="212"/>
      <c r="J73" s="212"/>
    </row>
    <row r="74" spans="1:10" s="238" customFormat="1" ht="14">
      <c r="E74" s="212"/>
      <c r="F74" s="212"/>
      <c r="G74" s="212"/>
      <c r="H74" s="212"/>
      <c r="I74" s="212"/>
      <c r="J74" s="212"/>
    </row>
    <row r="75" spans="1:10" s="238" customFormat="1" ht="14">
      <c r="E75" s="212"/>
      <c r="F75" s="212"/>
      <c r="G75" s="212"/>
      <c r="H75" s="212"/>
      <c r="I75" s="212"/>
      <c r="J75" s="212"/>
    </row>
    <row r="76" spans="1:10" s="238" customFormat="1" ht="14">
      <c r="E76" s="212"/>
      <c r="F76" s="212"/>
      <c r="G76" s="212"/>
      <c r="H76" s="212"/>
      <c r="I76" s="212"/>
      <c r="J76" s="212"/>
    </row>
    <row r="77" spans="1:10" s="238" customFormat="1" ht="14">
      <c r="A77" s="212"/>
      <c r="B77" s="212"/>
      <c r="C77" s="212"/>
      <c r="D77" s="212"/>
      <c r="E77" s="212"/>
      <c r="F77" s="212"/>
      <c r="G77" s="212"/>
      <c r="H77" s="212"/>
      <c r="I77" s="212"/>
      <c r="J77" s="212"/>
    </row>
    <row r="78" spans="1:10" s="238" customFormat="1" ht="14">
      <c r="A78" s="212"/>
      <c r="B78" s="212"/>
      <c r="C78" s="212"/>
      <c r="D78" s="212"/>
      <c r="E78" s="212"/>
      <c r="F78" s="212"/>
      <c r="G78" s="212"/>
      <c r="H78" s="212"/>
      <c r="I78" s="212"/>
      <c r="J78" s="212"/>
    </row>
    <row r="79" spans="1:10" s="238" customFormat="1" ht="14">
      <c r="A79" s="212"/>
      <c r="B79" s="212"/>
      <c r="C79" s="212"/>
      <c r="D79" s="212"/>
    </row>
    <row r="80" spans="1:10" s="238" customFormat="1" ht="14">
      <c r="A80" s="212"/>
      <c r="B80" s="212"/>
      <c r="C80" s="212"/>
      <c r="D80" s="212"/>
    </row>
    <row r="81" spans="1:4" s="238" customFormat="1" ht="14">
      <c r="A81" s="212"/>
      <c r="B81" s="212"/>
      <c r="C81" s="212"/>
      <c r="D81" s="212"/>
    </row>
    <row r="82" spans="1:4" s="238" customFormat="1" ht="14">
      <c r="A82" s="212"/>
      <c r="B82" s="212"/>
      <c r="C82" s="212"/>
      <c r="D82" s="212"/>
    </row>
    <row r="83" spans="1:4" s="238" customFormat="1" ht="14">
      <c r="A83" s="212"/>
      <c r="B83" s="212"/>
      <c r="C83" s="212"/>
      <c r="D83" s="212"/>
    </row>
    <row r="84" spans="1:4" s="238" customFormat="1" ht="14">
      <c r="A84" s="212"/>
      <c r="B84" s="212"/>
      <c r="C84" s="212"/>
      <c r="D84" s="212"/>
    </row>
    <row r="85" spans="1:4" s="238" customFormat="1" ht="14">
      <c r="A85" s="212"/>
      <c r="B85" s="212"/>
      <c r="C85" s="212"/>
      <c r="D85" s="212"/>
    </row>
    <row r="86" spans="1:4" s="238" customFormat="1" ht="14"/>
    <row r="87" spans="1:4" s="238" customFormat="1" ht="14"/>
    <row r="88" spans="1:4" s="238" customFormat="1" ht="14"/>
    <row r="89" spans="1:4" s="238" customFormat="1" ht="14"/>
    <row r="90" spans="1:4" s="238" customFormat="1" ht="14"/>
    <row r="91" spans="1:4" s="238" customFormat="1" ht="14"/>
    <row r="92" spans="1:4" s="238" customFormat="1" ht="14"/>
    <row r="93" spans="1:4" s="238" customFormat="1" ht="14"/>
    <row r="94" spans="1:4" s="238" customFormat="1" ht="14"/>
    <row r="95" spans="1:4" s="238" customFormat="1" ht="14"/>
    <row r="96" spans="1:4"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pans="1:10" s="238" customFormat="1" ht="14"/>
    <row r="146" spans="1:10" s="238" customFormat="1" ht="14"/>
    <row r="147" spans="1:10" s="238" customFormat="1" ht="14"/>
    <row r="148" spans="1:10" s="238" customFormat="1" ht="14"/>
    <row r="149" spans="1:10" s="238" customFormat="1" ht="14"/>
    <row r="150" spans="1:10" s="238" customFormat="1" ht="14"/>
    <row r="151" spans="1:10" s="238" customFormat="1" ht="14"/>
    <row r="152" spans="1:10" s="238" customFormat="1" ht="14"/>
    <row r="153" spans="1:10" s="238" customFormat="1" ht="14"/>
    <row r="154" spans="1:10" ht="14">
      <c r="A154" s="238"/>
      <c r="B154" s="238"/>
      <c r="C154" s="238"/>
      <c r="D154" s="238"/>
      <c r="E154" s="238"/>
      <c r="F154" s="238"/>
      <c r="G154" s="238"/>
      <c r="H154" s="238"/>
      <c r="I154" s="238"/>
      <c r="J154" s="238"/>
    </row>
    <row r="155" spans="1:10" ht="14">
      <c r="A155" s="238"/>
      <c r="B155" s="238"/>
      <c r="C155" s="238"/>
      <c r="D155" s="238"/>
      <c r="E155" s="238"/>
      <c r="F155" s="238"/>
      <c r="G155" s="238"/>
      <c r="H155" s="238"/>
      <c r="I155" s="238"/>
      <c r="J155" s="238"/>
    </row>
    <row r="156" spans="1:10" ht="14">
      <c r="A156" s="238"/>
      <c r="B156" s="238"/>
      <c r="C156" s="238"/>
      <c r="D156" s="238"/>
      <c r="E156" s="238"/>
      <c r="F156" s="238"/>
      <c r="G156" s="238"/>
      <c r="H156" s="238"/>
      <c r="I156" s="238"/>
      <c r="J156" s="238"/>
    </row>
    <row r="157" spans="1:10" ht="14">
      <c r="A157" s="238"/>
      <c r="B157" s="238"/>
      <c r="C157" s="238"/>
      <c r="D157" s="238"/>
      <c r="E157" s="238"/>
      <c r="F157" s="238"/>
      <c r="G157" s="238"/>
      <c r="H157" s="238"/>
      <c r="I157" s="238"/>
      <c r="J157" s="238"/>
    </row>
    <row r="158" spans="1:10" ht="14">
      <c r="A158" s="238"/>
      <c r="B158" s="238"/>
      <c r="C158" s="238"/>
      <c r="D158" s="238"/>
      <c r="E158" s="238"/>
      <c r="F158" s="238"/>
      <c r="G158" s="238"/>
      <c r="H158" s="238"/>
      <c r="I158" s="238"/>
      <c r="J158" s="238"/>
    </row>
    <row r="159" spans="1:10" ht="14">
      <c r="A159" s="238"/>
      <c r="B159" s="238"/>
      <c r="C159" s="238"/>
      <c r="D159" s="238"/>
      <c r="E159" s="238"/>
      <c r="F159" s="238"/>
      <c r="G159" s="238"/>
      <c r="H159" s="238"/>
      <c r="I159" s="238"/>
      <c r="J159" s="238"/>
    </row>
    <row r="160" spans="1:10" ht="14">
      <c r="A160" s="238"/>
      <c r="B160" s="238"/>
      <c r="C160" s="238"/>
      <c r="D160" s="238"/>
      <c r="E160" s="238"/>
      <c r="F160" s="238"/>
      <c r="G160" s="238"/>
      <c r="H160" s="238"/>
      <c r="I160" s="238"/>
      <c r="J160" s="238"/>
    </row>
    <row r="161" spans="1:4" ht="14">
      <c r="A161" s="238"/>
      <c r="B161" s="238"/>
      <c r="C161" s="238"/>
      <c r="D161" s="238"/>
    </row>
    <row r="162" spans="1:4" ht="14">
      <c r="A162" s="238"/>
      <c r="B162" s="238"/>
      <c r="C162" s="238"/>
      <c r="D162" s="238"/>
    </row>
    <row r="163" spans="1:4" ht="14">
      <c r="A163" s="238"/>
      <c r="B163" s="238"/>
      <c r="C163" s="238"/>
      <c r="D163" s="238"/>
    </row>
    <row r="164" spans="1:4" ht="14">
      <c r="A164" s="238"/>
      <c r="B164" s="238"/>
      <c r="C164" s="238"/>
      <c r="D164" s="238"/>
    </row>
    <row r="165" spans="1:4" ht="14">
      <c r="A165" s="238"/>
      <c r="B165" s="238"/>
      <c r="C165" s="238"/>
      <c r="D165" s="238"/>
    </row>
    <row r="166" spans="1:4" ht="14">
      <c r="A166" s="238"/>
      <c r="B166" s="238"/>
      <c r="C166" s="238"/>
      <c r="D166" s="238"/>
    </row>
    <row r="167" spans="1:4" ht="14">
      <c r="A167" s="238"/>
      <c r="B167" s="238"/>
      <c r="C167" s="238"/>
      <c r="D167" s="238"/>
    </row>
  </sheetData>
  <sheetProtection algorithmName="SHA-512" hashValue="FUUQUJ0ZDyIffnQrAEGDMnbcJllOMtgDt8MpRA80i49CgALVprlAPHr0N8xaoEwAIB3jx2r4jchwviHMfbLpWg==" saltValue="DlBwziOkf2r8IYF3Pmb82w==" spinCount="100000" sheet="1" objects="1" scenarios="1"/>
  <mergeCells count="38">
    <mergeCell ref="A58:E58"/>
    <mergeCell ref="A59:E59"/>
    <mergeCell ref="A60:B60"/>
    <mergeCell ref="A61:B61"/>
    <mergeCell ref="A54:G54"/>
    <mergeCell ref="B55:C55"/>
    <mergeCell ref="D55:E55"/>
    <mergeCell ref="F55:G55"/>
    <mergeCell ref="B56:C56"/>
    <mergeCell ref="D56:E56"/>
    <mergeCell ref="F56:G56"/>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24:C24"/>
    <mergeCell ref="A1:J1"/>
    <mergeCell ref="A2:J2"/>
    <mergeCell ref="A3:J3"/>
    <mergeCell ref="A4:J4"/>
    <mergeCell ref="A6:D6"/>
    <mergeCell ref="E6:H6"/>
    <mergeCell ref="F7:J9"/>
    <mergeCell ref="A12:D12"/>
    <mergeCell ref="A13:D13"/>
    <mergeCell ref="A17:E17"/>
    <mergeCell ref="A23:F23"/>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zoomScaleSheetLayoutView="100" workbookViewId="0">
      <selection activeCell="A15" sqref="A15:G15"/>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63" t="s">
        <v>128</v>
      </c>
      <c r="B1" s="2064"/>
      <c r="C1" s="2064"/>
      <c r="D1" s="2064"/>
      <c r="E1" s="2064"/>
      <c r="F1" s="2064"/>
      <c r="G1" s="2064"/>
      <c r="H1" s="2065"/>
      <c r="I1" s="2031"/>
      <c r="J1" s="2032"/>
    </row>
    <row r="2" spans="1:20" ht="12" customHeight="1" thickBot="1">
      <c r="A2" s="2030"/>
      <c r="B2" s="2030"/>
      <c r="C2" s="2030"/>
      <c r="D2" s="2030"/>
      <c r="E2" s="2030"/>
      <c r="F2" s="2030"/>
      <c r="G2" s="2030"/>
      <c r="H2" s="2030"/>
      <c r="I2" s="2030"/>
      <c r="J2" s="2030"/>
      <c r="K2" s="2"/>
      <c r="L2" s="2"/>
      <c r="M2" s="2"/>
    </row>
    <row r="3" spans="1:20" ht="26" customHeight="1" thickBot="1">
      <c r="A3" s="1207" t="s">
        <v>480</v>
      </c>
      <c r="B3" s="1208"/>
      <c r="C3" s="1208"/>
      <c r="D3" s="1208"/>
      <c r="E3" s="1208"/>
      <c r="F3" s="1208"/>
      <c r="G3" s="1208"/>
      <c r="H3" s="1209"/>
      <c r="I3" s="2033"/>
      <c r="J3" s="1433"/>
      <c r="K3" s="2"/>
    </row>
    <row r="4" spans="1:20" ht="21" customHeight="1" thickBot="1">
      <c r="A4" s="88"/>
      <c r="B4" s="2041" t="s">
        <v>37</v>
      </c>
      <c r="C4" s="2042"/>
      <c r="D4" s="2042"/>
      <c r="E4" s="2042"/>
      <c r="F4" s="2042"/>
      <c r="G4" s="2042"/>
      <c r="H4" s="2043"/>
      <c r="I4" s="2033"/>
      <c r="J4" s="1433"/>
      <c r="K4" s="2"/>
    </row>
    <row r="5" spans="1:20" ht="15" customHeight="1">
      <c r="A5" s="2075"/>
      <c r="B5" s="1514" t="s">
        <v>34</v>
      </c>
      <c r="C5" s="1516"/>
      <c r="D5" s="1514" t="s">
        <v>105</v>
      </c>
      <c r="E5" s="1516"/>
      <c r="F5" s="1514" t="s">
        <v>106</v>
      </c>
      <c r="G5" s="1516"/>
      <c r="H5" s="2076" t="s">
        <v>107</v>
      </c>
      <c r="I5" s="2033"/>
      <c r="J5" s="1433"/>
      <c r="K5" s="2"/>
    </row>
    <row r="6" spans="1:20" ht="33.75" customHeight="1" thickBot="1">
      <c r="A6" s="2007"/>
      <c r="B6" s="1520"/>
      <c r="C6" s="1522"/>
      <c r="D6" s="1520"/>
      <c r="E6" s="1522"/>
      <c r="F6" s="1520"/>
      <c r="G6" s="1522"/>
      <c r="H6" s="2077"/>
      <c r="I6" s="2033"/>
      <c r="J6" s="1433"/>
      <c r="K6" s="2"/>
    </row>
    <row r="7" spans="1:20" ht="17" customHeight="1">
      <c r="A7" s="89" t="s">
        <v>35</v>
      </c>
      <c r="B7" s="2035">
        <v>94.65</v>
      </c>
      <c r="C7" s="2036"/>
      <c r="D7" s="2035">
        <v>63.1</v>
      </c>
      <c r="E7" s="2036"/>
      <c r="F7" s="2066">
        <v>31.55</v>
      </c>
      <c r="G7" s="2066"/>
      <c r="H7" s="129">
        <v>0</v>
      </c>
      <c r="I7" s="2033"/>
      <c r="J7" s="1433"/>
      <c r="K7" s="2"/>
    </row>
    <row r="8" spans="1:20" ht="17" customHeight="1" thickBot="1">
      <c r="A8" s="90" t="s">
        <v>36</v>
      </c>
      <c r="B8" s="2067">
        <v>189.35</v>
      </c>
      <c r="C8" s="2068"/>
      <c r="D8" s="2037">
        <v>126.25</v>
      </c>
      <c r="E8" s="2038"/>
      <c r="F8" s="2078">
        <v>63.1</v>
      </c>
      <c r="G8" s="2078"/>
      <c r="H8" s="130">
        <v>0</v>
      </c>
      <c r="I8" s="2033"/>
      <c r="J8" s="1433"/>
      <c r="K8" s="2"/>
    </row>
    <row r="9" spans="1:20" ht="17" customHeight="1" thickBot="1">
      <c r="A9" s="91" t="s">
        <v>22</v>
      </c>
      <c r="B9" s="2044">
        <f>SUM(B7:C8)</f>
        <v>284</v>
      </c>
      <c r="C9" s="2044"/>
      <c r="D9" s="2039">
        <f>SUM(D7:E8)</f>
        <v>189.35</v>
      </c>
      <c r="E9" s="2040"/>
      <c r="F9" s="2044">
        <f>SUM(F7:G8)</f>
        <v>94.65</v>
      </c>
      <c r="G9" s="2044"/>
      <c r="H9" s="131">
        <f>SUM(H7:I8)</f>
        <v>0</v>
      </c>
      <c r="I9" s="2033"/>
      <c r="J9" s="1433"/>
      <c r="K9" s="132"/>
    </row>
    <row r="10" spans="1:20" ht="17" customHeight="1">
      <c r="A10" s="2034" t="s">
        <v>294</v>
      </c>
      <c r="B10" s="2034"/>
      <c r="C10" s="2034"/>
      <c r="D10" s="2034"/>
      <c r="E10" s="2034"/>
      <c r="F10" s="2034"/>
      <c r="G10" s="2034"/>
      <c r="H10" s="2034"/>
      <c r="I10" s="1005"/>
      <c r="J10" s="1005"/>
      <c r="K10" s="6"/>
      <c r="L10" s="2"/>
      <c r="M10" s="132"/>
    </row>
    <row r="11" spans="1:20" ht="16" customHeight="1" thickBot="1">
      <c r="A11" s="2030"/>
      <c r="B11" s="2030"/>
      <c r="C11" s="2030"/>
      <c r="D11" s="2030"/>
      <c r="E11" s="2030"/>
      <c r="F11" s="2030"/>
      <c r="G11" s="2030"/>
      <c r="H11" s="2030"/>
      <c r="I11" s="2030"/>
      <c r="J11" s="2030"/>
      <c r="K11" s="2"/>
      <c r="L11" s="2"/>
      <c r="M11" s="2"/>
    </row>
    <row r="12" spans="1:20" s="2" customFormat="1" ht="26" customHeight="1" thickBot="1">
      <c r="A12" s="1886" t="s">
        <v>67</v>
      </c>
      <c r="B12" s="1887"/>
      <c r="C12" s="1887"/>
      <c r="D12" s="1887"/>
      <c r="E12" s="1887"/>
      <c r="F12" s="1887"/>
      <c r="G12" s="1887"/>
      <c r="H12" s="1888"/>
      <c r="M12" s="16"/>
      <c r="N12" s="16"/>
      <c r="O12" s="16"/>
      <c r="P12" s="16"/>
      <c r="Q12" s="16"/>
      <c r="R12" s="16"/>
      <c r="S12" s="16"/>
      <c r="T12" s="16"/>
    </row>
    <row r="13" spans="1:20" s="2" customFormat="1" ht="21" customHeight="1" thickBot="1">
      <c r="A13" s="2069" t="s">
        <v>228</v>
      </c>
      <c r="B13" s="2070"/>
      <c r="C13" s="2070"/>
      <c r="D13" s="2070"/>
      <c r="E13" s="2070"/>
      <c r="F13" s="2070"/>
      <c r="G13" s="2071"/>
      <c r="H13" s="104" t="s">
        <v>66</v>
      </c>
      <c r="M13" s="16"/>
      <c r="N13" s="16"/>
      <c r="O13" s="16"/>
      <c r="P13" s="16"/>
      <c r="Q13" s="16"/>
      <c r="R13" s="16"/>
      <c r="S13" s="16"/>
      <c r="T13" s="16"/>
    </row>
    <row r="14" spans="1:20" s="2" customFormat="1" ht="17" customHeight="1" thickBot="1">
      <c r="A14" s="2049" t="s">
        <v>68</v>
      </c>
      <c r="B14" s="2050"/>
      <c r="C14" s="2050"/>
      <c r="D14" s="2050"/>
      <c r="E14" s="2050"/>
      <c r="F14" s="2050"/>
      <c r="G14" s="2051"/>
      <c r="H14" s="105">
        <v>108.35</v>
      </c>
      <c r="M14" s="16"/>
      <c r="N14" s="16"/>
      <c r="O14" s="16"/>
      <c r="P14" s="16"/>
      <c r="Q14" s="16"/>
      <c r="R14" s="16"/>
      <c r="S14" s="16"/>
      <c r="T14" s="16"/>
    </row>
    <row r="15" spans="1:20" s="2" customFormat="1" ht="21" customHeight="1" thickBot="1">
      <c r="A15" s="2052" t="s">
        <v>503</v>
      </c>
      <c r="B15" s="2053"/>
      <c r="C15" s="2053"/>
      <c r="D15" s="2053"/>
      <c r="E15" s="2053"/>
      <c r="F15" s="2053"/>
      <c r="G15" s="2054"/>
      <c r="H15" s="106" t="s">
        <v>92</v>
      </c>
      <c r="M15" s="16"/>
      <c r="N15" s="16"/>
      <c r="O15" s="16"/>
      <c r="P15" s="16"/>
      <c r="Q15" s="16"/>
      <c r="R15" s="16"/>
      <c r="S15" s="16"/>
      <c r="T15" s="16"/>
    </row>
    <row r="16" spans="1:20" s="2" customFormat="1" ht="16" customHeight="1">
      <c r="A16" s="2055" t="s">
        <v>186</v>
      </c>
      <c r="B16" s="2056"/>
      <c r="C16" s="2056"/>
      <c r="D16" s="2056"/>
      <c r="E16" s="2056"/>
      <c r="F16" s="2056"/>
      <c r="G16" s="2057"/>
      <c r="H16" s="2061">
        <v>176.5</v>
      </c>
      <c r="M16" s="16"/>
      <c r="N16" s="16"/>
      <c r="O16" s="16"/>
      <c r="P16" s="16"/>
      <c r="Q16" s="16"/>
      <c r="R16" s="16"/>
      <c r="S16" s="16"/>
      <c r="T16" s="16"/>
    </row>
    <row r="17" spans="1:20" s="2" customFormat="1" ht="16" customHeight="1" thickBot="1">
      <c r="A17" s="2058"/>
      <c r="B17" s="2059"/>
      <c r="C17" s="2059"/>
      <c r="D17" s="2059"/>
      <c r="E17" s="2059"/>
      <c r="F17" s="2059"/>
      <c r="G17" s="2060"/>
      <c r="H17" s="2062"/>
      <c r="M17" s="16"/>
      <c r="N17" s="16"/>
      <c r="O17" s="16"/>
      <c r="P17" s="16"/>
      <c r="Q17" s="16"/>
      <c r="R17" s="16"/>
      <c r="S17" s="16"/>
      <c r="T17" s="16"/>
    </row>
    <row r="18" spans="1:20" s="2" customFormat="1" ht="16" customHeight="1" thickBot="1">
      <c r="A18" s="2102" t="s">
        <v>553</v>
      </c>
      <c r="B18" s="2103"/>
      <c r="C18" s="2103"/>
      <c r="D18" s="2103"/>
      <c r="E18" s="2103"/>
      <c r="F18" s="2103"/>
      <c r="G18" s="2104"/>
      <c r="H18" s="2105" t="str">
        <f>H15</f>
        <v>Kr.</v>
      </c>
      <c r="M18" s="16"/>
      <c r="N18" s="16"/>
      <c r="O18" s="16"/>
      <c r="P18" s="16"/>
      <c r="Q18" s="16"/>
      <c r="R18" s="16"/>
      <c r="S18" s="16"/>
      <c r="T18" s="16"/>
    </row>
    <row r="19" spans="1:20" ht="26" customHeight="1" thickBot="1">
      <c r="A19" s="2106" t="s">
        <v>554</v>
      </c>
      <c r="B19" s="2107"/>
      <c r="C19" s="2107"/>
      <c r="D19" s="2107"/>
      <c r="E19" s="2107"/>
      <c r="F19" s="2107"/>
      <c r="G19" s="2107"/>
      <c r="H19" s="992">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207" t="s">
        <v>296</v>
      </c>
      <c r="B21" s="1208"/>
      <c r="C21" s="1208"/>
      <c r="D21" s="1208"/>
      <c r="E21" s="1208"/>
      <c r="F21" s="1208"/>
      <c r="G21" s="1208"/>
      <c r="H21" s="1209"/>
      <c r="I21" s="20"/>
      <c r="J21" s="20"/>
      <c r="K21" s="2"/>
      <c r="L21" s="2"/>
      <c r="M21" s="2"/>
    </row>
    <row r="22" spans="1:20" ht="24" customHeight="1">
      <c r="A22" s="2006" t="s">
        <v>38</v>
      </c>
      <c r="B22" s="1514" t="s">
        <v>42</v>
      </c>
      <c r="C22" s="1515"/>
      <c r="D22" s="1516"/>
      <c r="E22" s="1514" t="s">
        <v>42</v>
      </c>
      <c r="F22" s="1515"/>
      <c r="G22" s="1515"/>
      <c r="H22" s="1516"/>
      <c r="I22" s="17"/>
      <c r="J22" s="17"/>
      <c r="K22" s="17"/>
      <c r="L22" s="2"/>
      <c r="M22" s="2"/>
      <c r="N22" s="2"/>
    </row>
    <row r="23" spans="1:20" ht="16" thickBot="1">
      <c r="A23" s="2007"/>
      <c r="B23" s="2012">
        <v>40999</v>
      </c>
      <c r="C23" s="2013"/>
      <c r="D23" s="2014"/>
      <c r="E23" s="2012" t="str">
        <f>'Løntabel gældende fra'!$D$1</f>
        <v>01/10/23</v>
      </c>
      <c r="F23" s="2013"/>
      <c r="G23" s="2013"/>
      <c r="H23" s="2014"/>
      <c r="I23" s="2008"/>
      <c r="J23" s="2008"/>
      <c r="K23" s="2008"/>
      <c r="L23" s="2"/>
      <c r="M23" s="2"/>
      <c r="N23" s="2"/>
    </row>
    <row r="24" spans="1:20" ht="17" customHeight="1">
      <c r="A24" s="84" t="s">
        <v>39</v>
      </c>
      <c r="B24" s="2017">
        <v>6000</v>
      </c>
      <c r="C24" s="2018"/>
      <c r="D24" s="2019"/>
      <c r="E24" s="2009">
        <f>ROUND(B24+B24*'Løntabel gældende fra'!$D$7%,2)</f>
        <v>6955.18</v>
      </c>
      <c r="F24" s="2009"/>
      <c r="G24" s="2009"/>
      <c r="H24" s="2010"/>
      <c r="I24" s="2008"/>
      <c r="J24" s="2008"/>
      <c r="K24" s="2008"/>
      <c r="L24" s="2"/>
      <c r="M24" s="2"/>
      <c r="N24" s="2"/>
    </row>
    <row r="25" spans="1:20" ht="17" customHeight="1">
      <c r="A25" s="85" t="s">
        <v>40</v>
      </c>
      <c r="B25" s="2020">
        <v>7600</v>
      </c>
      <c r="C25" s="2021"/>
      <c r="D25" s="2022"/>
      <c r="E25" s="2015">
        <f>ROUND(B25+B25*'Løntabel gældende fra'!$D$7%,2)</f>
        <v>8809.9</v>
      </c>
      <c r="F25" s="2015"/>
      <c r="G25" s="2015"/>
      <c r="H25" s="2016"/>
      <c r="I25" s="2011"/>
      <c r="J25" s="2011"/>
      <c r="K25" s="24"/>
      <c r="L25" s="2"/>
      <c r="M25" s="2"/>
      <c r="N25" s="2"/>
    </row>
    <row r="26" spans="1:20" ht="17" customHeight="1" thickBot="1">
      <c r="A26" s="86" t="s">
        <v>41</v>
      </c>
      <c r="B26" s="2025">
        <v>9000</v>
      </c>
      <c r="C26" s="2026"/>
      <c r="D26" s="2027"/>
      <c r="E26" s="2023">
        <f>ROUND(B26+B26*'Løntabel gældende fra'!$D$7%,2)</f>
        <v>10432.77</v>
      </c>
      <c r="F26" s="2023"/>
      <c r="G26" s="2023"/>
      <c r="H26" s="2024"/>
      <c r="I26" s="1981"/>
      <c r="J26" s="1981"/>
      <c r="K26" s="25"/>
      <c r="L26" s="2"/>
      <c r="M26" s="2"/>
      <c r="N26" s="2"/>
    </row>
    <row r="27" spans="1:20" ht="14" customHeight="1" thickBot="1">
      <c r="A27" s="2"/>
      <c r="B27" s="2"/>
      <c r="C27" s="2"/>
      <c r="D27" s="2"/>
      <c r="E27" s="2"/>
      <c r="F27" s="2"/>
      <c r="G27" s="2"/>
      <c r="H27" s="2"/>
      <c r="I27" s="1981"/>
      <c r="J27" s="1981"/>
      <c r="K27" s="25"/>
      <c r="L27" s="2"/>
      <c r="M27" s="2"/>
      <c r="N27" s="2"/>
    </row>
    <row r="28" spans="1:20" ht="26" customHeight="1" thickBot="1">
      <c r="A28" s="1207" t="s">
        <v>399</v>
      </c>
      <c r="B28" s="1208"/>
      <c r="C28" s="1208"/>
      <c r="D28" s="1208"/>
      <c r="E28" s="1208"/>
      <c r="F28" s="1208"/>
      <c r="G28" s="1208"/>
      <c r="H28" s="1209"/>
      <c r="I28" s="2"/>
      <c r="J28" s="2"/>
      <c r="K28" s="2"/>
      <c r="L28" s="2"/>
      <c r="M28" s="2"/>
    </row>
    <row r="29" spans="1:20" ht="18.75" customHeight="1" thickBot="1">
      <c r="A29" s="1988" t="str">
        <f>A39</f>
        <v>Gældende fra 1. januar 2023</v>
      </c>
      <c r="B29" s="1989"/>
      <c r="C29" s="1989"/>
      <c r="D29" s="1990"/>
      <c r="E29" s="1082" t="s">
        <v>133</v>
      </c>
      <c r="F29" s="1083"/>
      <c r="G29" s="1986" t="s">
        <v>134</v>
      </c>
      <c r="H29" s="1987"/>
      <c r="I29" s="206"/>
      <c r="J29" s="2"/>
      <c r="K29" s="2"/>
      <c r="L29" s="2"/>
      <c r="M29" s="2"/>
    </row>
    <row r="30" spans="1:20" ht="62" customHeight="1" thickBot="1">
      <c r="A30" s="1991"/>
      <c r="B30" s="1992"/>
      <c r="C30" s="1992"/>
      <c r="D30" s="1993"/>
      <c r="E30" s="553" t="s">
        <v>402</v>
      </c>
      <c r="F30" s="553" t="s">
        <v>329</v>
      </c>
      <c r="G30" s="522" t="s">
        <v>402</v>
      </c>
      <c r="H30" s="554" t="s">
        <v>329</v>
      </c>
      <c r="I30" s="587"/>
      <c r="J30" s="587"/>
      <c r="K30" s="26"/>
      <c r="L30" s="2"/>
      <c r="M30" s="2"/>
      <c r="N30" s="2"/>
    </row>
    <row r="31" spans="1:20" ht="17" customHeight="1">
      <c r="A31" s="1984" t="s">
        <v>135</v>
      </c>
      <c r="B31" s="1985"/>
      <c r="C31" s="1985"/>
      <c r="D31" s="586"/>
      <c r="E31" s="555">
        <v>477</v>
      </c>
      <c r="F31" s="202">
        <f t="shared" ref="F31:F36" si="0">ROUND(E31/24,2)</f>
        <v>19.88</v>
      </c>
      <c r="G31" s="270">
        <v>555</v>
      </c>
      <c r="H31" s="559">
        <f t="shared" ref="H31:H36" si="1">ROUND(G31/24,2)</f>
        <v>23.13</v>
      </c>
      <c r="I31" s="587"/>
      <c r="J31" s="587"/>
      <c r="K31" s="26"/>
      <c r="L31" s="2"/>
      <c r="M31" s="2"/>
      <c r="N31" s="2"/>
    </row>
    <row r="32" spans="1:20" ht="17" customHeight="1">
      <c r="A32" s="1982" t="s">
        <v>332</v>
      </c>
      <c r="B32" s="1983"/>
      <c r="C32" s="1983"/>
      <c r="D32" s="585"/>
      <c r="E32" s="556">
        <f>(E31*15)/100</f>
        <v>71.55</v>
      </c>
      <c r="F32" s="203">
        <f t="shared" si="0"/>
        <v>2.98</v>
      </c>
      <c r="G32" s="271">
        <f>(G31*15)/100</f>
        <v>83.25</v>
      </c>
      <c r="H32" s="560">
        <f t="shared" si="1"/>
        <v>3.47</v>
      </c>
      <c r="I32" s="201"/>
      <c r="K32" s="46"/>
      <c r="L32" s="2"/>
      <c r="M32" s="2"/>
      <c r="N32" s="2"/>
    </row>
    <row r="33" spans="1:14" ht="17" customHeight="1">
      <c r="A33" s="1982" t="s">
        <v>333</v>
      </c>
      <c r="B33" s="1983"/>
      <c r="C33" s="1983"/>
      <c r="D33" s="585"/>
      <c r="E33" s="556">
        <f>(E31*30)/100</f>
        <v>143.1</v>
      </c>
      <c r="F33" s="203">
        <f t="shared" si="0"/>
        <v>5.96</v>
      </c>
      <c r="G33" s="272">
        <f>(G31*30)/100</f>
        <v>166.5</v>
      </c>
      <c r="H33" s="560">
        <f t="shared" si="1"/>
        <v>6.94</v>
      </c>
      <c r="I33" s="201"/>
      <c r="K33" s="47"/>
      <c r="L33" s="274"/>
      <c r="M33" s="2"/>
      <c r="N33" s="2"/>
    </row>
    <row r="34" spans="1:14" ht="17" customHeight="1">
      <c r="A34" s="1982" t="s">
        <v>334</v>
      </c>
      <c r="B34" s="1983"/>
      <c r="C34" s="1983"/>
      <c r="D34" s="585"/>
      <c r="E34" s="556">
        <f>(E31*30)/100</f>
        <v>143.1</v>
      </c>
      <c r="F34" s="203">
        <f t="shared" si="0"/>
        <v>5.96</v>
      </c>
      <c r="G34" s="273">
        <f>(G31*30)/100</f>
        <v>166.5</v>
      </c>
      <c r="H34" s="560">
        <f t="shared" si="1"/>
        <v>6.94</v>
      </c>
      <c r="I34" s="201"/>
      <c r="K34" s="48"/>
      <c r="L34" s="2"/>
      <c r="M34" s="2"/>
      <c r="N34" s="2"/>
    </row>
    <row r="35" spans="1:14" ht="17" customHeight="1">
      <c r="A35" s="1982" t="s">
        <v>335</v>
      </c>
      <c r="B35" s="1983"/>
      <c r="C35" s="1983"/>
      <c r="D35" s="585"/>
      <c r="E35" s="556">
        <f>(E31*75)/100</f>
        <v>357.75</v>
      </c>
      <c r="F35" s="203">
        <f t="shared" si="0"/>
        <v>14.91</v>
      </c>
      <c r="G35" s="272">
        <f>(G31*75)/100</f>
        <v>416.25</v>
      </c>
      <c r="H35" s="560">
        <f t="shared" si="1"/>
        <v>17.34</v>
      </c>
      <c r="I35" s="201"/>
      <c r="K35" s="49"/>
      <c r="L35" s="2"/>
      <c r="M35" s="2"/>
      <c r="N35" s="2"/>
    </row>
    <row r="36" spans="1:14" ht="17" customHeight="1" thickBot="1">
      <c r="A36" s="2000" t="s">
        <v>58</v>
      </c>
      <c r="B36" s="2001"/>
      <c r="C36" s="2001"/>
      <c r="D36" s="521"/>
      <c r="E36" s="557">
        <f>E31-E35</f>
        <v>119.25</v>
      </c>
      <c r="F36" s="204">
        <f t="shared" si="0"/>
        <v>4.97</v>
      </c>
      <c r="G36" s="468">
        <f>G31-G35</f>
        <v>138.75</v>
      </c>
      <c r="H36" s="561">
        <f t="shared" si="1"/>
        <v>5.78</v>
      </c>
      <c r="I36" s="201"/>
      <c r="K36" s="49"/>
      <c r="L36" s="2"/>
      <c r="M36" s="2"/>
      <c r="N36" s="2"/>
    </row>
    <row r="37" spans="1:14" ht="17" customHeight="1" thickBot="1">
      <c r="A37" s="73"/>
      <c r="B37" s="73"/>
      <c r="C37" s="73"/>
      <c r="D37" s="93"/>
      <c r="E37" s="93"/>
      <c r="F37" s="93"/>
      <c r="G37" s="558"/>
      <c r="H37" s="201"/>
      <c r="I37" s="201"/>
      <c r="K37" s="49"/>
      <c r="L37" s="2"/>
      <c r="M37" s="2"/>
      <c r="N37" s="2"/>
    </row>
    <row r="38" spans="1:14" ht="26" customHeight="1" thickBot="1">
      <c r="A38" s="1207" t="s">
        <v>59</v>
      </c>
      <c r="B38" s="1208"/>
      <c r="C38" s="1208"/>
      <c r="D38" s="1208"/>
      <c r="E38" s="1208"/>
      <c r="F38" s="1208"/>
      <c r="G38" s="1208"/>
      <c r="H38" s="1209"/>
      <c r="J38" s="2"/>
      <c r="K38" s="2"/>
      <c r="L38" s="2"/>
      <c r="M38" s="2"/>
    </row>
    <row r="39" spans="1:14" ht="24" customHeight="1">
      <c r="A39" s="2072" t="s">
        <v>532</v>
      </c>
      <c r="B39" s="2073"/>
      <c r="C39" s="2073"/>
      <c r="D39" s="2073"/>
      <c r="E39" s="2073"/>
      <c r="F39" s="2073"/>
      <c r="G39" s="2074"/>
      <c r="H39" s="107" t="s">
        <v>66</v>
      </c>
      <c r="I39" s="546"/>
      <c r="J39" s="546"/>
      <c r="K39" s="2"/>
      <c r="L39" s="2"/>
      <c r="M39" s="2"/>
    </row>
    <row r="40" spans="1:14" ht="17.25" customHeight="1">
      <c r="A40" s="2002" t="s">
        <v>132</v>
      </c>
      <c r="B40" s="2003"/>
      <c r="C40" s="2003"/>
      <c r="D40" s="2003"/>
      <c r="E40" s="523"/>
      <c r="F40" s="523"/>
      <c r="G40" s="523"/>
      <c r="H40" s="108">
        <v>2.19</v>
      </c>
      <c r="I40" s="584"/>
      <c r="J40" s="546"/>
      <c r="K40" s="546"/>
      <c r="L40" s="2"/>
      <c r="M40" s="2"/>
      <c r="N40" s="2"/>
    </row>
    <row r="41" spans="1:14" ht="17" customHeight="1" thickBot="1">
      <c r="A41" s="2004" t="s">
        <v>523</v>
      </c>
      <c r="B41" s="2005"/>
      <c r="C41" s="2005"/>
      <c r="D41" s="2005"/>
      <c r="E41" s="524"/>
      <c r="F41" s="524"/>
      <c r="G41" s="524"/>
      <c r="H41" s="109">
        <v>3.73</v>
      </c>
      <c r="I41" s="584"/>
      <c r="J41" s="546"/>
      <c r="K41" s="546"/>
      <c r="L41" s="2"/>
      <c r="M41" s="2"/>
      <c r="N41" s="2"/>
    </row>
    <row r="42" spans="1:14" ht="17" customHeight="1">
      <c r="A42" s="2045" t="s">
        <v>540</v>
      </c>
      <c r="B42" s="2045"/>
      <c r="C42" s="2045"/>
      <c r="D42" s="2045"/>
      <c r="E42" s="525"/>
      <c r="F42" s="525"/>
      <c r="G42" s="43"/>
      <c r="H42" s="13"/>
      <c r="I42" s="13"/>
      <c r="J42" s="13"/>
      <c r="K42" s="13"/>
    </row>
    <row r="43" spans="1:14" ht="18" customHeight="1" thickBot="1">
      <c r="A43" s="13"/>
      <c r="B43" s="13"/>
      <c r="C43" s="13"/>
      <c r="D43" s="13"/>
      <c r="E43" s="13"/>
      <c r="F43" s="13"/>
      <c r="G43" s="13"/>
      <c r="H43" s="13"/>
      <c r="I43" s="13"/>
      <c r="J43" s="13"/>
    </row>
    <row r="44" spans="1:14" ht="26" customHeight="1" thickBot="1">
      <c r="A44" s="1207" t="s">
        <v>63</v>
      </c>
      <c r="B44" s="1208"/>
      <c r="C44" s="1208"/>
      <c r="D44" s="1208"/>
      <c r="E44" s="1208"/>
      <c r="F44" s="1208"/>
      <c r="G44" s="1208"/>
      <c r="H44" s="1209"/>
      <c r="I44" s="13"/>
      <c r="J44" s="13"/>
    </row>
    <row r="45" spans="1:14" ht="24" customHeight="1" thickBot="1">
      <c r="A45" s="1986" t="str">
        <f>A39</f>
        <v>Gældende fra 1. januar 2023</v>
      </c>
      <c r="B45" s="1995"/>
      <c r="C45" s="1995"/>
      <c r="D45" s="1995"/>
      <c r="E45" s="1995"/>
      <c r="F45" s="1995"/>
      <c r="G45" s="1987"/>
      <c r="H45" s="92" t="s">
        <v>66</v>
      </c>
    </row>
    <row r="46" spans="1:14" ht="19" customHeight="1">
      <c r="A46" s="1984" t="s">
        <v>64</v>
      </c>
      <c r="B46" s="1985"/>
      <c r="C46" s="1985"/>
      <c r="D46" s="1985"/>
      <c r="E46" s="1985"/>
      <c r="F46" s="1985"/>
      <c r="G46" s="1996"/>
      <c r="H46" s="110">
        <v>911</v>
      </c>
    </row>
    <row r="47" spans="1:14" ht="17" customHeight="1" thickBot="1">
      <c r="A47" s="1997" t="s">
        <v>65</v>
      </c>
      <c r="B47" s="1998"/>
      <c r="C47" s="1998"/>
      <c r="D47" s="1998"/>
      <c r="E47" s="1998"/>
      <c r="F47" s="1998"/>
      <c r="G47" s="1999"/>
      <c r="H47" s="109">
        <v>607</v>
      </c>
      <c r="I47" s="13"/>
      <c r="J47" s="13"/>
      <c r="K47" s="13"/>
    </row>
    <row r="48" spans="1:14" ht="18" customHeight="1" thickBot="1">
      <c r="A48" s="1994"/>
      <c r="B48" s="1994"/>
      <c r="C48" s="1994"/>
      <c r="D48" s="1994"/>
      <c r="E48" s="1994"/>
      <c r="F48" s="1994"/>
      <c r="G48" s="1994"/>
      <c r="H48" s="1994"/>
      <c r="I48" s="13"/>
      <c r="J48" s="13"/>
    </row>
    <row r="49" spans="1:16" ht="26" customHeight="1" thickBot="1">
      <c r="A49" s="1207" t="s">
        <v>474</v>
      </c>
      <c r="B49" s="1208"/>
      <c r="C49" s="1208"/>
      <c r="D49" s="1208"/>
      <c r="E49" s="1208"/>
      <c r="F49" s="1208"/>
      <c r="G49" s="1208"/>
      <c r="H49" s="1209"/>
      <c r="I49" s="13"/>
      <c r="J49" s="13"/>
    </row>
    <row r="50" spans="1:16" ht="24" customHeight="1" thickBot="1">
      <c r="A50" s="1986" t="str">
        <f>A45</f>
        <v>Gældende fra 1. januar 2023</v>
      </c>
      <c r="B50" s="1995"/>
      <c r="C50" s="1995"/>
      <c r="D50" s="1995"/>
      <c r="E50" s="1995"/>
      <c r="F50" s="1995"/>
      <c r="G50" s="1987"/>
      <c r="H50" s="92" t="s">
        <v>66</v>
      </c>
    </row>
    <row r="51" spans="1:16" ht="19" customHeight="1">
      <c r="A51" s="1984" t="s">
        <v>473</v>
      </c>
      <c r="B51" s="1985"/>
      <c r="C51" s="1985"/>
      <c r="D51" s="1985"/>
      <c r="E51" s="1985"/>
      <c r="F51" s="1985"/>
      <c r="G51" s="1996"/>
      <c r="H51" s="110">
        <v>911</v>
      </c>
    </row>
    <row r="52" spans="1:16" ht="17" customHeight="1" thickBot="1">
      <c r="A52" s="1997" t="s">
        <v>475</v>
      </c>
      <c r="B52" s="1998"/>
      <c r="C52" s="1998"/>
      <c r="D52" s="1998"/>
      <c r="E52" s="1998"/>
      <c r="F52" s="1998"/>
      <c r="G52" s="1999"/>
      <c r="H52" s="109">
        <v>456</v>
      </c>
    </row>
    <row r="53" spans="1:16" ht="17" customHeight="1">
      <c r="A53" s="839"/>
      <c r="B53" s="839"/>
      <c r="C53" s="839"/>
      <c r="D53" s="839"/>
      <c r="E53" s="839"/>
      <c r="F53" s="839"/>
      <c r="G53" s="839"/>
      <c r="H53" s="839"/>
    </row>
    <row r="54" spans="1:16" ht="12" customHeight="1" thickBot="1">
      <c r="A54" s="839"/>
      <c r="B54" s="839"/>
      <c r="C54" s="839"/>
      <c r="D54" s="839"/>
      <c r="E54" s="839"/>
      <c r="F54" s="839"/>
      <c r="G54" s="839"/>
    </row>
    <row r="55" spans="1:16" ht="22" customHeight="1">
      <c r="A55" s="1079" t="s">
        <v>476</v>
      </c>
      <c r="B55" s="1080"/>
      <c r="C55" s="1080"/>
      <c r="D55" s="1080"/>
      <c r="E55" s="1080"/>
      <c r="F55" s="1080"/>
      <c r="G55" s="1080"/>
      <c r="H55" s="1081"/>
    </row>
    <row r="56" spans="1:16" ht="17" customHeight="1" thickBot="1">
      <c r="A56" s="1170" t="s">
        <v>312</v>
      </c>
      <c r="B56" s="1171"/>
      <c r="C56" s="1171"/>
      <c r="D56" s="1171"/>
      <c r="E56" s="1171"/>
      <c r="F56" s="1171"/>
      <c r="G56" s="1171"/>
      <c r="H56" s="1172"/>
      <c r="I56" s="13"/>
      <c r="J56" s="13"/>
    </row>
    <row r="57" spans="1:16" ht="17" customHeight="1">
      <c r="A57" s="653"/>
      <c r="B57" s="654"/>
      <c r="C57" s="654"/>
      <c r="D57" s="654"/>
      <c r="E57" s="654"/>
      <c r="F57" s="654"/>
      <c r="G57" s="656" t="s">
        <v>98</v>
      </c>
      <c r="H57" s="655" t="s">
        <v>103</v>
      </c>
      <c r="I57" s="13"/>
      <c r="J57" s="13"/>
      <c r="K57" s="13"/>
    </row>
    <row r="58" spans="1:16" ht="18" customHeight="1" thickBot="1">
      <c r="A58" s="651"/>
      <c r="B58" s="652"/>
      <c r="C58" s="652"/>
      <c r="D58" s="652"/>
      <c r="E58" s="652"/>
      <c r="F58" s="652"/>
      <c r="G58" s="551">
        <v>40999</v>
      </c>
      <c r="H58" s="568" t="str">
        <f>'Løntabel gældende fra'!$D$1</f>
        <v>01/10/23</v>
      </c>
      <c r="I58" s="588"/>
      <c r="J58" s="588"/>
      <c r="K58" s="588"/>
    </row>
    <row r="59" spans="1:16" ht="17" customHeight="1">
      <c r="A59" s="1932" t="s">
        <v>222</v>
      </c>
      <c r="B59" s="1933"/>
      <c r="C59" s="1933"/>
      <c r="D59" s="1933"/>
      <c r="E59" s="1933"/>
      <c r="F59" s="949" t="s">
        <v>165</v>
      </c>
      <c r="G59" s="160">
        <v>22.32</v>
      </c>
      <c r="H59" s="950">
        <f>G59+G59*'Løntabel gældende fra'!$D$7%</f>
        <v>25.873277040000001</v>
      </c>
      <c r="I59" s="588"/>
      <c r="J59" s="588"/>
      <c r="K59" s="588"/>
    </row>
    <row r="60" spans="1:16" ht="17" customHeight="1">
      <c r="A60" s="1920" t="s">
        <v>501</v>
      </c>
      <c r="B60" s="1921"/>
      <c r="C60" s="1921"/>
      <c r="D60" s="1921"/>
      <c r="E60" s="1921"/>
      <c r="F60" s="1924" t="s">
        <v>165</v>
      </c>
      <c r="G60" s="1926">
        <v>39.92</v>
      </c>
      <c r="H60" s="1928">
        <f>G60+G60*'Løntabel gældende fra'!$D$7%</f>
        <v>46.275144240000003</v>
      </c>
      <c r="I60" s="2028"/>
      <c r="J60" s="2029"/>
      <c r="K60" s="2029"/>
      <c r="L60" s="2029"/>
      <c r="M60" s="2029"/>
      <c r="N60" s="2029"/>
      <c r="O60" s="2029"/>
      <c r="P60" s="2029"/>
    </row>
    <row r="61" spans="1:16" ht="45" customHeight="1">
      <c r="A61" s="1922"/>
      <c r="B61" s="1923"/>
      <c r="C61" s="1923"/>
      <c r="D61" s="1923"/>
      <c r="E61" s="1923"/>
      <c r="F61" s="1925"/>
      <c r="G61" s="1927"/>
      <c r="H61" s="1929"/>
      <c r="I61" s="2028"/>
      <c r="J61" s="2029"/>
      <c r="K61" s="2029"/>
      <c r="L61" s="2029"/>
      <c r="M61" s="2029"/>
      <c r="N61" s="2029"/>
      <c r="O61" s="2029"/>
      <c r="P61" s="2029"/>
    </row>
    <row r="62" spans="1:16" ht="17" customHeight="1">
      <c r="A62" s="1930" t="s">
        <v>240</v>
      </c>
      <c r="B62" s="1931"/>
      <c r="C62" s="1931"/>
      <c r="D62" s="1931"/>
      <c r="E62" s="1931"/>
      <c r="F62" s="948" t="s">
        <v>165</v>
      </c>
      <c r="G62" s="181">
        <v>39.92</v>
      </c>
      <c r="H62" s="847">
        <f>G62+G62*'Løntabel gældende fra'!$D$7%</f>
        <v>46.275144240000003</v>
      </c>
      <c r="I62" s="2028"/>
      <c r="J62" s="2029"/>
      <c r="K62" s="2029"/>
      <c r="L62" s="2029"/>
      <c r="M62" s="2029"/>
      <c r="N62" s="2029"/>
      <c r="O62" s="2029"/>
      <c r="P62" s="2029"/>
    </row>
    <row r="63" spans="1:16" ht="17" customHeight="1">
      <c r="A63" s="1916" t="s">
        <v>164</v>
      </c>
      <c r="B63" s="1917"/>
      <c r="C63" s="1917"/>
      <c r="D63" s="1917"/>
      <c r="E63" s="1917"/>
      <c r="F63" s="849" t="s">
        <v>165</v>
      </c>
      <c r="G63" s="181">
        <v>39.92</v>
      </c>
      <c r="H63" s="847">
        <f>G63+G63*'Løntabel gældende fra'!$D$7%</f>
        <v>46.275144240000003</v>
      </c>
      <c r="I63" s="2028"/>
      <c r="J63" s="2029"/>
      <c r="K63" s="2029"/>
      <c r="L63" s="2029"/>
      <c r="M63" s="2029"/>
      <c r="N63" s="2029"/>
      <c r="O63" s="2029"/>
      <c r="P63" s="2029"/>
    </row>
    <row r="64" spans="1:16" ht="17" customHeight="1">
      <c r="A64" s="1916" t="s">
        <v>500</v>
      </c>
      <c r="B64" s="1917"/>
      <c r="C64" s="1917"/>
      <c r="D64" s="1917"/>
      <c r="E64" s="1917"/>
      <c r="F64" s="849" t="s">
        <v>165</v>
      </c>
      <c r="G64" s="181">
        <v>6.59</v>
      </c>
      <c r="H64" s="847">
        <f>G64+G64*'Løntabel gældende fra'!$D$7%</f>
        <v>7.6391082299999997</v>
      </c>
      <c r="I64" s="2028"/>
      <c r="J64" s="2029"/>
      <c r="K64" s="2029"/>
      <c r="L64" s="2029"/>
      <c r="M64" s="2029"/>
      <c r="N64" s="2029"/>
      <c r="O64" s="2029"/>
      <c r="P64" s="2029"/>
    </row>
    <row r="65" spans="1:16" ht="17" customHeight="1" thickBot="1">
      <c r="A65" s="1918" t="s">
        <v>419</v>
      </c>
      <c r="B65" s="1919"/>
      <c r="C65" s="1919"/>
      <c r="D65" s="1919"/>
      <c r="E65" s="1919"/>
      <c r="F65" s="850" t="s">
        <v>166</v>
      </c>
      <c r="G65" s="161">
        <v>61.22</v>
      </c>
      <c r="H65" s="848">
        <f>G65+G65*'Løntabel gældende fra'!$D$7%</f>
        <v>70.966040340000006</v>
      </c>
      <c r="I65" s="2028"/>
      <c r="J65" s="2029"/>
      <c r="K65" s="2029"/>
      <c r="L65" s="2029"/>
      <c r="M65" s="2029"/>
      <c r="N65" s="2029"/>
      <c r="O65" s="2029"/>
      <c r="P65" s="2029"/>
    </row>
    <row r="66" spans="1:16" ht="17" customHeight="1" thickBot="1">
      <c r="A66" s="13"/>
      <c r="B66" s="13"/>
      <c r="C66" s="13"/>
      <c r="D66" s="13"/>
      <c r="E66" s="13"/>
      <c r="F66" s="13"/>
      <c r="G66" s="13"/>
      <c r="H66" s="13"/>
      <c r="I66" s="2028"/>
      <c r="J66" s="2029"/>
      <c r="K66" s="2029"/>
      <c r="L66" s="2029"/>
      <c r="M66" s="2029"/>
      <c r="N66" s="2029"/>
      <c r="O66" s="2029"/>
      <c r="P66" s="2029"/>
    </row>
    <row r="67" spans="1:16" ht="17" customHeight="1">
      <c r="A67" s="1167" t="s">
        <v>189</v>
      </c>
      <c r="B67" s="1168"/>
      <c r="C67" s="1168"/>
      <c r="D67" s="1168"/>
      <c r="E67" s="1168"/>
      <c r="F67" s="1168"/>
      <c r="G67" s="1168"/>
      <c r="H67" s="1169"/>
      <c r="I67" s="2028"/>
      <c r="J67" s="2029"/>
      <c r="K67" s="2029"/>
      <c r="L67" s="2029"/>
      <c r="M67" s="2029"/>
      <c r="N67" s="2029"/>
      <c r="O67" s="2029"/>
      <c r="P67" s="2029"/>
    </row>
    <row r="68" spans="1:16" ht="17" customHeight="1" thickBot="1">
      <c r="A68" s="2046" t="s">
        <v>328</v>
      </c>
      <c r="B68" s="2047"/>
      <c r="C68" s="2047"/>
      <c r="D68" s="2047"/>
      <c r="E68" s="2047"/>
      <c r="F68" s="2047"/>
      <c r="G68" s="2047"/>
      <c r="H68" s="2048"/>
      <c r="I68" s="2028"/>
      <c r="J68" s="2029"/>
      <c r="K68" s="2029"/>
      <c r="L68" s="2029"/>
      <c r="M68" s="2029"/>
      <c r="N68" s="2029"/>
      <c r="O68" s="2029"/>
      <c r="P68" s="2029"/>
    </row>
    <row r="69" spans="1:16" ht="17" customHeight="1">
      <c r="A69" s="1963" t="s">
        <v>27</v>
      </c>
      <c r="B69" s="1964"/>
      <c r="C69" s="1964"/>
      <c r="D69" s="1965"/>
      <c r="E69" s="1963" t="s">
        <v>28</v>
      </c>
      <c r="F69" s="1964"/>
      <c r="G69" s="1964"/>
      <c r="H69" s="1965"/>
      <c r="I69" s="2028"/>
      <c r="J69" s="2029"/>
      <c r="K69" s="2029"/>
      <c r="L69" s="2029"/>
      <c r="M69" s="2029"/>
      <c r="N69" s="2029"/>
      <c r="O69" s="2029"/>
      <c r="P69" s="2029"/>
    </row>
    <row r="70" spans="1:16" ht="17" customHeight="1">
      <c r="A70" s="1949">
        <v>40999</v>
      </c>
      <c r="B70" s="1950"/>
      <c r="C70" s="1950"/>
      <c r="D70" s="1951"/>
      <c r="E70" s="1952">
        <v>0</v>
      </c>
      <c r="F70" s="1953"/>
      <c r="G70" s="1953"/>
      <c r="H70" s="1954"/>
      <c r="I70" s="2028"/>
      <c r="J70" s="2029"/>
      <c r="K70" s="2029"/>
      <c r="L70" s="2029"/>
      <c r="M70" s="2029"/>
      <c r="N70" s="2029"/>
      <c r="O70" s="2029"/>
      <c r="P70" s="2029"/>
    </row>
    <row r="71" spans="1:16" ht="17" customHeight="1">
      <c r="A71" s="1949">
        <v>41000</v>
      </c>
      <c r="B71" s="1950"/>
      <c r="C71" s="1950"/>
      <c r="D71" s="1951"/>
      <c r="E71" s="1952">
        <v>1.304</v>
      </c>
      <c r="F71" s="1953"/>
      <c r="G71" s="1953"/>
      <c r="H71" s="1954"/>
      <c r="I71" s="708"/>
      <c r="J71" s="708"/>
    </row>
    <row r="72" spans="1:16" ht="17" customHeight="1">
      <c r="A72" s="1949">
        <v>41365</v>
      </c>
      <c r="B72" s="1950"/>
      <c r="C72" s="1950"/>
      <c r="D72" s="1951"/>
      <c r="E72" s="1952">
        <v>1.304</v>
      </c>
      <c r="F72" s="1953"/>
      <c r="G72" s="1953"/>
      <c r="H72" s="1954"/>
      <c r="I72" s="17"/>
      <c r="J72" s="17"/>
    </row>
    <row r="73" spans="1:16" ht="17" customHeight="1">
      <c r="A73" s="1949">
        <v>41730</v>
      </c>
      <c r="B73" s="1950"/>
      <c r="C73" s="1950"/>
      <c r="D73" s="1951"/>
      <c r="E73" s="1952">
        <v>1.7161999999999999</v>
      </c>
      <c r="F73" s="1953"/>
      <c r="G73" s="1953"/>
      <c r="H73" s="1954"/>
      <c r="I73" s="713"/>
      <c r="J73" s="713"/>
    </row>
    <row r="74" spans="1:16" ht="17" customHeight="1">
      <c r="A74" s="1955">
        <v>42095</v>
      </c>
      <c r="B74" s="1956"/>
      <c r="C74" s="1956"/>
      <c r="D74" s="1957"/>
      <c r="E74" s="1952">
        <v>2.1745000000000001</v>
      </c>
      <c r="F74" s="1953"/>
      <c r="G74" s="1953"/>
      <c r="H74" s="1954"/>
      <c r="I74" s="714"/>
      <c r="J74" s="714"/>
    </row>
    <row r="75" spans="1:16" ht="17" customHeight="1">
      <c r="A75" s="1949">
        <v>42461</v>
      </c>
      <c r="B75" s="1950"/>
      <c r="C75" s="1950"/>
      <c r="D75" s="1951"/>
      <c r="E75" s="1952">
        <v>2.9882</v>
      </c>
      <c r="F75" s="1953"/>
      <c r="G75" s="1953"/>
      <c r="H75" s="1954"/>
      <c r="I75" s="714"/>
      <c r="J75" s="714"/>
    </row>
    <row r="76" spans="1:16" ht="17" customHeight="1">
      <c r="A76" s="1969">
        <v>42826</v>
      </c>
      <c r="B76" s="1970"/>
      <c r="C76" s="1970"/>
      <c r="D76" s="1971"/>
      <c r="E76" s="1952">
        <v>4.2446000000000002</v>
      </c>
      <c r="F76" s="1953"/>
      <c r="G76" s="1953"/>
      <c r="H76" s="1954"/>
      <c r="I76" s="714"/>
      <c r="J76" s="714"/>
    </row>
    <row r="77" spans="1:16" ht="17" customHeight="1">
      <c r="A77" s="1949">
        <v>43070</v>
      </c>
      <c r="B77" s="1950"/>
      <c r="C77" s="1950"/>
      <c r="D77" s="1951"/>
      <c r="E77" s="1952">
        <v>5.7702999999999998</v>
      </c>
      <c r="F77" s="1953"/>
      <c r="G77" s="1953"/>
      <c r="H77" s="1954"/>
      <c r="I77" s="714"/>
      <c r="J77" s="714"/>
    </row>
    <row r="78" spans="1:16" ht="17" customHeight="1">
      <c r="A78" s="1949">
        <v>43191</v>
      </c>
      <c r="B78" s="1950"/>
      <c r="C78" s="1950"/>
      <c r="D78" s="1951"/>
      <c r="E78" s="1952">
        <v>6.9683000000000002</v>
      </c>
      <c r="F78" s="1953"/>
      <c r="G78" s="1953"/>
      <c r="H78" s="1954"/>
      <c r="I78" s="714"/>
      <c r="J78" s="714"/>
    </row>
    <row r="79" spans="1:16" ht="17" customHeight="1">
      <c r="A79" s="1949">
        <v>43374</v>
      </c>
      <c r="B79" s="1950"/>
      <c r="C79" s="1950"/>
      <c r="D79" s="1951"/>
      <c r="E79" s="1952">
        <v>7.4972000000000003</v>
      </c>
      <c r="F79" s="1953"/>
      <c r="G79" s="1953"/>
      <c r="H79" s="1954"/>
      <c r="I79" s="715"/>
      <c r="J79" s="715"/>
    </row>
    <row r="80" spans="1:16" ht="17" customHeight="1">
      <c r="A80" s="1949">
        <v>43556</v>
      </c>
      <c r="B80" s="1950"/>
      <c r="C80" s="1950"/>
      <c r="D80" s="1951"/>
      <c r="E80" s="1952">
        <v>8.4910999999999994</v>
      </c>
      <c r="F80" s="1953"/>
      <c r="G80" s="1953"/>
      <c r="H80" s="1954"/>
      <c r="I80" s="713"/>
      <c r="J80" s="713"/>
    </row>
    <row r="81" spans="1:10" ht="17" customHeight="1">
      <c r="A81" s="1972">
        <v>43739</v>
      </c>
      <c r="B81" s="2098"/>
      <c r="C81" s="2098"/>
      <c r="D81" s="1973"/>
      <c r="E81" s="1974">
        <v>9.4007000000000005</v>
      </c>
      <c r="F81" s="2099"/>
      <c r="G81" s="2099"/>
      <c r="H81" s="1975"/>
      <c r="I81" s="713"/>
      <c r="J81" s="713"/>
    </row>
    <row r="82" spans="1:10" ht="17" customHeight="1">
      <c r="A82" s="1949">
        <v>43922</v>
      </c>
      <c r="B82" s="1950"/>
      <c r="C82" s="1950"/>
      <c r="D82" s="1951"/>
      <c r="E82" s="1952">
        <v>10.323600000000001</v>
      </c>
      <c r="F82" s="1953"/>
      <c r="G82" s="1953"/>
      <c r="H82" s="1954"/>
      <c r="I82" s="713"/>
      <c r="J82" s="713"/>
    </row>
    <row r="83" spans="1:10" ht="17" customHeight="1">
      <c r="A83" s="1959">
        <v>44228</v>
      </c>
      <c r="B83" s="1959"/>
      <c r="C83" s="1959"/>
      <c r="D83" s="1959"/>
      <c r="E83" s="1976">
        <v>10.2211</v>
      </c>
      <c r="F83" s="1977"/>
      <c r="G83" s="1977"/>
      <c r="H83" s="1977"/>
      <c r="I83" s="713"/>
      <c r="J83" s="713"/>
    </row>
    <row r="84" spans="1:10" ht="17" customHeight="1">
      <c r="A84" s="1959">
        <v>44287</v>
      </c>
      <c r="B84" s="1959"/>
      <c r="C84" s="1959"/>
      <c r="D84" s="1959"/>
      <c r="E84" s="1976">
        <v>11.1029</v>
      </c>
      <c r="F84" s="1977"/>
      <c r="G84" s="1977"/>
      <c r="H84" s="1977"/>
      <c r="I84" s="713"/>
      <c r="J84" s="713"/>
    </row>
    <row r="85" spans="1:10" ht="17" customHeight="1">
      <c r="A85" s="1959">
        <v>44470</v>
      </c>
      <c r="B85" s="1959"/>
      <c r="C85" s="1959"/>
      <c r="D85" s="1959"/>
      <c r="E85" s="1960">
        <v>11.4336</v>
      </c>
      <c r="F85" s="1961"/>
      <c r="G85" s="1961"/>
      <c r="H85" s="1962"/>
      <c r="I85" s="713"/>
      <c r="J85" s="713"/>
    </row>
    <row r="86" spans="1:10" ht="17" customHeight="1">
      <c r="A86" s="1959">
        <v>44652</v>
      </c>
      <c r="B86" s="1959"/>
      <c r="C86" s="1959"/>
      <c r="D86" s="1959"/>
      <c r="E86" s="1960">
        <v>13.410399999999999</v>
      </c>
      <c r="F86" s="1961"/>
      <c r="G86" s="1961"/>
      <c r="H86" s="1962"/>
      <c r="I86" s="713"/>
      <c r="J86" s="713"/>
    </row>
    <row r="87" spans="1:10" ht="17" customHeight="1">
      <c r="A87" s="1959">
        <v>44835</v>
      </c>
      <c r="B87" s="1959"/>
      <c r="C87" s="1959"/>
      <c r="D87" s="1959"/>
      <c r="E87" s="1960">
        <v>13.741099999999999</v>
      </c>
      <c r="F87" s="1961"/>
      <c r="G87" s="1961"/>
      <c r="H87" s="1962"/>
      <c r="I87" s="713"/>
      <c r="J87" s="713"/>
    </row>
    <row r="88" spans="1:10" ht="17" customHeight="1">
      <c r="A88" s="1949">
        <v>45017</v>
      </c>
      <c r="B88" s="1950"/>
      <c r="C88" s="1950"/>
      <c r="D88" s="1951"/>
      <c r="E88" s="1960">
        <v>15.533899999999999</v>
      </c>
      <c r="F88" s="1961"/>
      <c r="G88" s="1961"/>
      <c r="H88" s="1962"/>
      <c r="I88" s="713"/>
      <c r="J88" s="713"/>
    </row>
    <row r="89" spans="1:10" ht="17" customHeight="1" thickBot="1">
      <c r="A89" s="1958">
        <v>45200</v>
      </c>
      <c r="B89" s="1958"/>
      <c r="C89" s="1958"/>
      <c r="D89" s="1958"/>
      <c r="E89" s="1966">
        <v>15.919700000000001</v>
      </c>
      <c r="F89" s="1967"/>
      <c r="G89" s="1967"/>
      <c r="H89" s="1968"/>
      <c r="I89" s="714"/>
      <c r="J89" s="714"/>
    </row>
    <row r="90" spans="1:10" ht="25.5" customHeight="1" thickBot="1">
      <c r="A90" s="707"/>
      <c r="B90" s="707"/>
      <c r="C90" s="707"/>
      <c r="D90" s="707"/>
      <c r="E90" s="707"/>
      <c r="F90" s="707"/>
      <c r="G90" s="707"/>
      <c r="H90" s="707"/>
      <c r="I90" s="714"/>
      <c r="J90" s="714"/>
    </row>
    <row r="91" spans="1:10" ht="19" thickBot="1">
      <c r="A91" s="1946" t="s">
        <v>74</v>
      </c>
      <c r="B91" s="1947"/>
      <c r="C91" s="1947"/>
      <c r="D91" s="1947"/>
      <c r="E91" s="1947"/>
      <c r="F91" s="1947"/>
      <c r="G91" s="1947"/>
      <c r="H91" s="1948"/>
      <c r="I91" s="13"/>
      <c r="J91" s="13"/>
    </row>
    <row r="92" spans="1:10" ht="16" thickBot="1">
      <c r="A92" s="1934" t="s">
        <v>75</v>
      </c>
      <c r="B92" s="1935"/>
      <c r="C92" s="1935"/>
      <c r="D92" s="1935"/>
      <c r="E92" s="1935"/>
      <c r="F92" s="1935"/>
      <c r="G92" s="1935"/>
      <c r="H92" s="1936"/>
      <c r="I92" s="713"/>
      <c r="J92" s="713"/>
    </row>
    <row r="93" spans="1:10">
      <c r="A93" s="1937" t="s">
        <v>241</v>
      </c>
      <c r="B93" s="1938"/>
      <c r="C93" s="1938"/>
      <c r="D93" s="1938"/>
      <c r="E93" s="1938"/>
      <c r="F93" s="1938"/>
      <c r="G93" s="1938"/>
      <c r="H93" s="1939"/>
    </row>
    <row r="94" spans="1:10">
      <c r="A94" s="1940"/>
      <c r="B94" s="1941"/>
      <c r="C94" s="1941"/>
      <c r="D94" s="1941"/>
      <c r="E94" s="1941"/>
      <c r="F94" s="1941"/>
      <c r="G94" s="1941"/>
      <c r="H94" s="1942"/>
      <c r="I94" s="13"/>
      <c r="J94" s="13"/>
    </row>
    <row r="95" spans="1:10">
      <c r="A95" s="1940"/>
      <c r="B95" s="1941"/>
      <c r="C95" s="1941"/>
      <c r="D95" s="1941"/>
      <c r="E95" s="1941"/>
      <c r="F95" s="1941"/>
      <c r="G95" s="1941"/>
      <c r="H95" s="1942"/>
      <c r="I95" s="713"/>
      <c r="J95" s="713"/>
    </row>
    <row r="96" spans="1:10" ht="31.5" customHeight="1">
      <c r="A96" s="1940"/>
      <c r="B96" s="1941"/>
      <c r="C96" s="1941"/>
      <c r="D96" s="1941"/>
      <c r="E96" s="1941"/>
      <c r="F96" s="1941"/>
      <c r="G96" s="1941"/>
      <c r="H96" s="1942"/>
    </row>
    <row r="97" spans="1:10" ht="6" customHeight="1" thickBot="1">
      <c r="A97" s="1943"/>
      <c r="B97" s="1944"/>
      <c r="C97" s="1944"/>
      <c r="D97" s="1944"/>
      <c r="E97" s="1944"/>
      <c r="F97" s="1944"/>
      <c r="G97" s="1944"/>
      <c r="H97" s="1945"/>
    </row>
    <row r="98" spans="1:10" ht="16" thickBot="1">
      <c r="A98" s="709"/>
      <c r="B98" s="709"/>
      <c r="C98" s="709"/>
      <c r="D98" s="709"/>
      <c r="E98" s="709"/>
      <c r="F98" s="709"/>
      <c r="G98" s="709"/>
      <c r="H98" s="709"/>
      <c r="I98" s="713"/>
      <c r="J98" s="713"/>
    </row>
    <row r="99" spans="1:10" ht="20" customHeight="1" thickBot="1">
      <c r="A99" s="1934" t="s">
        <v>76</v>
      </c>
      <c r="B99" s="1935"/>
      <c r="C99" s="1935"/>
      <c r="D99" s="1935"/>
      <c r="E99" s="1935"/>
      <c r="F99" s="1935"/>
      <c r="G99" s="1935"/>
      <c r="H99" s="1936"/>
      <c r="I99" s="714"/>
      <c r="J99" s="714"/>
    </row>
    <row r="100" spans="1:10">
      <c r="A100" s="1937" t="s">
        <v>137</v>
      </c>
      <c r="B100" s="1938"/>
      <c r="C100" s="1938"/>
      <c r="D100" s="1938"/>
      <c r="E100" s="1938"/>
      <c r="F100" s="1938"/>
      <c r="G100" s="1938"/>
      <c r="H100" s="1939"/>
      <c r="I100" s="714"/>
      <c r="J100" s="714"/>
    </row>
    <row r="101" spans="1:10" ht="22" customHeight="1" thickBot="1">
      <c r="A101" s="1943"/>
      <c r="B101" s="1944"/>
      <c r="C101" s="1944"/>
      <c r="D101" s="1944"/>
      <c r="E101" s="1944"/>
      <c r="F101" s="1944"/>
      <c r="G101" s="1944"/>
      <c r="H101" s="1945"/>
      <c r="I101" s="714"/>
      <c r="J101" s="714"/>
    </row>
    <row r="102" spans="1:10" ht="16" thickBot="1">
      <c r="A102" s="710"/>
      <c r="B102" s="710"/>
      <c r="C102" s="710"/>
      <c r="D102" s="710"/>
      <c r="E102" s="710"/>
      <c r="F102" s="710"/>
      <c r="G102" s="710"/>
      <c r="H102" s="710"/>
    </row>
    <row r="103" spans="1:10" ht="16" thickBot="1">
      <c r="A103" s="1934" t="s">
        <v>77</v>
      </c>
      <c r="B103" s="1935"/>
      <c r="C103" s="1935"/>
      <c r="D103" s="1935"/>
      <c r="E103" s="1935"/>
      <c r="F103" s="1935"/>
      <c r="G103" s="1935"/>
      <c r="H103" s="1936"/>
    </row>
    <row r="104" spans="1:10" ht="16" thickBot="1">
      <c r="A104" s="268" t="s">
        <v>80</v>
      </c>
      <c r="B104" s="267"/>
      <c r="C104" s="267"/>
      <c r="D104" s="267"/>
      <c r="E104" s="267"/>
      <c r="F104" s="267"/>
      <c r="G104" s="267"/>
      <c r="H104" s="269"/>
    </row>
    <row r="105" spans="1:10" ht="16" thickBot="1">
      <c r="A105" s="710"/>
      <c r="B105" s="710"/>
      <c r="C105" s="710"/>
      <c r="D105" s="710"/>
      <c r="E105" s="710"/>
      <c r="F105" s="710"/>
      <c r="G105" s="710"/>
      <c r="H105" s="710"/>
    </row>
    <row r="106" spans="1:10" ht="16" thickBot="1">
      <c r="A106" s="1934" t="s">
        <v>78</v>
      </c>
      <c r="B106" s="1935"/>
      <c r="C106" s="1935"/>
      <c r="D106" s="1935"/>
      <c r="E106" s="1935"/>
      <c r="F106" s="1935"/>
      <c r="G106" s="1935"/>
      <c r="H106" s="1936"/>
    </row>
    <row r="107" spans="1:10" ht="16" thickBot="1">
      <c r="A107" s="1978" t="s">
        <v>81</v>
      </c>
      <c r="B107" s="1979"/>
      <c r="C107" s="1979"/>
      <c r="D107" s="1979"/>
      <c r="E107" s="1979"/>
      <c r="F107" s="1979"/>
      <c r="G107" s="1979"/>
      <c r="H107" s="1980"/>
    </row>
    <row r="108" spans="1:10" ht="16" thickBot="1"/>
    <row r="109" spans="1:10" ht="16" thickBot="1">
      <c r="A109" s="1934" t="s">
        <v>79</v>
      </c>
      <c r="B109" s="1935"/>
      <c r="C109" s="1935"/>
      <c r="D109" s="1935"/>
      <c r="E109" s="1935"/>
      <c r="F109" s="1935"/>
      <c r="G109" s="1935"/>
      <c r="H109" s="1936"/>
    </row>
    <row r="110" spans="1:10">
      <c r="A110" s="1937" t="s">
        <v>347</v>
      </c>
      <c r="B110" s="1938"/>
      <c r="C110" s="1938"/>
      <c r="D110" s="1938"/>
      <c r="E110" s="1938"/>
      <c r="F110" s="1938"/>
      <c r="G110" s="1938"/>
      <c r="H110" s="1939"/>
    </row>
    <row r="111" spans="1:10">
      <c r="A111" s="1940"/>
      <c r="B111" s="1941"/>
      <c r="C111" s="1941"/>
      <c r="D111" s="1941"/>
      <c r="E111" s="1941"/>
      <c r="F111" s="1941"/>
      <c r="G111" s="1941"/>
      <c r="H111" s="1942"/>
    </row>
    <row r="112" spans="1:10" ht="16" thickBot="1">
      <c r="A112" s="1943"/>
      <c r="B112" s="1944"/>
      <c r="C112" s="1944"/>
      <c r="D112" s="1944"/>
      <c r="E112" s="1944"/>
      <c r="F112" s="1944"/>
      <c r="G112" s="1944"/>
      <c r="H112" s="1945"/>
    </row>
  </sheetData>
  <sheetProtection sheet="1" objects="1" scenarios="1"/>
  <mergeCells count="138">
    <mergeCell ref="A49:H49"/>
    <mergeCell ref="A50:G50"/>
    <mergeCell ref="A51:G51"/>
    <mergeCell ref="A52:G52"/>
    <mergeCell ref="A38:H38"/>
    <mergeCell ref="A39:G39"/>
    <mergeCell ref="A5:A6"/>
    <mergeCell ref="B5:C6"/>
    <mergeCell ref="H5:H6"/>
    <mergeCell ref="F5:G6"/>
    <mergeCell ref="F8:G8"/>
    <mergeCell ref="A28:H28"/>
    <mergeCell ref="A18:G18"/>
    <mergeCell ref="A19:G19"/>
    <mergeCell ref="A3:H3"/>
    <mergeCell ref="A1:H1"/>
    <mergeCell ref="F7:G7"/>
    <mergeCell ref="B8:C8"/>
    <mergeCell ref="B9:C9"/>
    <mergeCell ref="A21:H21"/>
    <mergeCell ref="B22:D22"/>
    <mergeCell ref="A12:H12"/>
    <mergeCell ref="A13:G13"/>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I26:J26"/>
    <mergeCell ref="A22:A23"/>
    <mergeCell ref="I23:J24"/>
    <mergeCell ref="E24:H24"/>
    <mergeCell ref="I25:J25"/>
    <mergeCell ref="B23:D23"/>
    <mergeCell ref="E25:H25"/>
    <mergeCell ref="B24:D24"/>
    <mergeCell ref="B25:D25"/>
    <mergeCell ref="E26:H26"/>
    <mergeCell ref="B26:D26"/>
    <mergeCell ref="A106:H106"/>
    <mergeCell ref="A109:H109"/>
    <mergeCell ref="A107:H107"/>
    <mergeCell ref="A110:H112"/>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E69:H69"/>
    <mergeCell ref="E89:H89"/>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88:D88"/>
    <mergeCell ref="E88:H88"/>
    <mergeCell ref="A103:H103"/>
    <mergeCell ref="A93:H97"/>
    <mergeCell ref="A91:H91"/>
    <mergeCell ref="A92:H92"/>
    <mergeCell ref="A99:H99"/>
    <mergeCell ref="A100:H101"/>
    <mergeCell ref="A78:D78"/>
    <mergeCell ref="E78:H78"/>
    <mergeCell ref="A72:D72"/>
    <mergeCell ref="A73:D73"/>
    <mergeCell ref="A74:D74"/>
    <mergeCell ref="A89:D89"/>
    <mergeCell ref="A79:D79"/>
    <mergeCell ref="E79:H79"/>
    <mergeCell ref="A80:D80"/>
    <mergeCell ref="E80:H80"/>
    <mergeCell ref="A82:D82"/>
    <mergeCell ref="E82:H82"/>
    <mergeCell ref="A85:D85"/>
    <mergeCell ref="E85:H85"/>
    <mergeCell ref="A86:D86"/>
    <mergeCell ref="E86:H86"/>
    <mergeCell ref="A87:D87"/>
    <mergeCell ref="E87:H87"/>
    <mergeCell ref="A64:E64"/>
    <mergeCell ref="A65:E65"/>
    <mergeCell ref="A55:H55"/>
    <mergeCell ref="A56:H56"/>
    <mergeCell ref="A60:E61"/>
    <mergeCell ref="F60:F61"/>
    <mergeCell ref="G60:G61"/>
    <mergeCell ref="H60:H61"/>
    <mergeCell ref="A62:E62"/>
    <mergeCell ref="A63:E63"/>
    <mergeCell ref="A59:E59"/>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1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8" customWidth="1"/>
  </cols>
  <sheetData>
    <row r="1" spans="1:15" ht="40" customHeight="1" thickBot="1">
      <c r="A1" s="2084" t="str">
        <f>"Månedslønninger pr. "&amp;'Løntabel gældende fra'!D1&amp;" statens takster"</f>
        <v>Månedslønninger pr. 01/10/23 statens takster</v>
      </c>
      <c r="B1" s="2085"/>
      <c r="C1" s="2085"/>
      <c r="D1" s="2085"/>
      <c r="E1" s="2085"/>
      <c r="F1" s="2085"/>
      <c r="G1" s="2085"/>
      <c r="H1" s="2085"/>
      <c r="I1" s="2085"/>
      <c r="J1" s="2085"/>
      <c r="K1" s="2085"/>
      <c r="L1" s="2085"/>
      <c r="M1" s="2085"/>
      <c r="N1" s="2085"/>
      <c r="O1" s="2086"/>
    </row>
    <row r="2" spans="1:15" ht="18" customHeight="1">
      <c r="A2" s="2087" t="s">
        <v>344</v>
      </c>
      <c r="B2" s="2088"/>
      <c r="C2" s="2088"/>
      <c r="D2" s="2088"/>
      <c r="E2" s="2088"/>
      <c r="F2" s="2088"/>
      <c r="G2" s="2088"/>
      <c r="H2" s="2088"/>
      <c r="I2" s="2088"/>
      <c r="J2" s="2088"/>
      <c r="K2" s="2088"/>
      <c r="L2" s="2088"/>
      <c r="M2" s="2088"/>
      <c r="N2" s="2088"/>
      <c r="O2" s="2089"/>
    </row>
    <row r="3" spans="1:15" ht="18" customHeight="1">
      <c r="A3" s="2090" t="s">
        <v>345</v>
      </c>
      <c r="B3" s="2091"/>
      <c r="C3" s="2091"/>
      <c r="D3" s="2091"/>
      <c r="E3" s="2091"/>
      <c r="F3" s="2091"/>
      <c r="G3" s="2091"/>
      <c r="H3" s="2091"/>
      <c r="I3" s="2091"/>
      <c r="J3" s="2091"/>
      <c r="K3" s="2091"/>
      <c r="L3" s="2091"/>
      <c r="M3" s="2091"/>
      <c r="N3" s="2091"/>
      <c r="O3" s="2092"/>
    </row>
    <row r="4" spans="1:15" ht="33.75" customHeight="1" thickBot="1">
      <c r="A4" s="2093"/>
      <c r="B4" s="2094"/>
      <c r="C4" s="2094"/>
      <c r="D4" s="2094"/>
      <c r="E4" s="2094"/>
      <c r="F4" s="2094"/>
      <c r="G4" s="2094"/>
      <c r="H4" s="2094"/>
      <c r="I4" s="2094"/>
      <c r="J4" s="2094"/>
      <c r="K4" s="2094"/>
      <c r="L4" s="2094"/>
      <c r="M4" s="2094"/>
      <c r="N4" s="2094"/>
      <c r="O4" s="2095"/>
    </row>
    <row r="5" spans="1:15" s="31" customFormat="1" ht="26" customHeight="1" thickBot="1">
      <c r="A5" s="345" t="s">
        <v>57</v>
      </c>
      <c r="B5" s="366"/>
      <c r="C5" s="368" t="s">
        <v>108</v>
      </c>
      <c r="D5" s="345" t="s">
        <v>52</v>
      </c>
      <c r="E5" s="366" t="s">
        <v>109</v>
      </c>
      <c r="F5" s="367" t="s">
        <v>53</v>
      </c>
      <c r="G5" s="368" t="s">
        <v>110</v>
      </c>
      <c r="H5" s="345" t="s">
        <v>54</v>
      </c>
      <c r="I5" s="366" t="s">
        <v>111</v>
      </c>
      <c r="J5" s="367" t="s">
        <v>55</v>
      </c>
      <c r="K5" s="368" t="s">
        <v>112</v>
      </c>
      <c r="L5" s="345" t="s">
        <v>56</v>
      </c>
      <c r="M5" s="369"/>
      <c r="N5" s="370" t="s">
        <v>113</v>
      </c>
      <c r="O5" s="371" t="s">
        <v>114</v>
      </c>
    </row>
    <row r="6" spans="1:15" ht="20" customHeight="1">
      <c r="A6" s="2079">
        <v>1</v>
      </c>
      <c r="B6" s="356" t="s">
        <v>96</v>
      </c>
      <c r="C6" s="191">
        <v>184817</v>
      </c>
      <c r="D6" s="184">
        <f>ROUND((C6*(1+'Løntabel gældende fra'!$D$7%)),0)</f>
        <v>214239</v>
      </c>
      <c r="E6" s="192">
        <v>188265</v>
      </c>
      <c r="F6" s="193">
        <f>ROUND((E6*(1+'Løntabel gældende fra'!$D$7%)),0)</f>
        <v>218236</v>
      </c>
      <c r="G6" s="191">
        <v>190650</v>
      </c>
      <c r="H6" s="184">
        <f>ROUND((G6*(1+'Løntabel gældende fra'!$D$7%)),0)</f>
        <v>221001</v>
      </c>
      <c r="I6" s="192">
        <v>194098</v>
      </c>
      <c r="J6" s="193">
        <f>ROUND((I6*(1+'Løntabel gældende fra'!$D$7%)),0)</f>
        <v>224998</v>
      </c>
      <c r="K6" s="191">
        <v>196484</v>
      </c>
      <c r="L6" s="184">
        <f>ROUND((K6*(1+'Løntabel gældende fra'!$D$7%)),0)</f>
        <v>227764</v>
      </c>
      <c r="M6" s="394"/>
      <c r="N6" s="374">
        <v>171917.38</v>
      </c>
      <c r="O6" s="198">
        <f>ROUND(N6*(1+'Løntabel gældende fra'!$D$7%),2)</f>
        <v>199286.11</v>
      </c>
    </row>
    <row r="7" spans="1:15">
      <c r="A7" s="2080"/>
      <c r="B7" s="378" t="s">
        <v>97</v>
      </c>
      <c r="C7" s="383">
        <f>C6/12</f>
        <v>15401.416666666666</v>
      </c>
      <c r="D7" s="390">
        <f t="shared" ref="D7:L7" si="0">ROUND(D6/12,2)</f>
        <v>17853.25</v>
      </c>
      <c r="E7" s="387">
        <f>E6/12</f>
        <v>15688.75</v>
      </c>
      <c r="F7" s="372">
        <f t="shared" si="0"/>
        <v>18186.330000000002</v>
      </c>
      <c r="G7" s="383">
        <f>G6/12</f>
        <v>15887.5</v>
      </c>
      <c r="H7" s="390">
        <f t="shared" si="0"/>
        <v>18416.75</v>
      </c>
      <c r="I7" s="387">
        <f>I6/12</f>
        <v>16174.833333333334</v>
      </c>
      <c r="J7" s="372">
        <f t="shared" si="0"/>
        <v>18749.830000000002</v>
      </c>
      <c r="K7" s="383">
        <f>K6/12</f>
        <v>16373.666666666666</v>
      </c>
      <c r="L7" s="390">
        <f t="shared" si="0"/>
        <v>18980.330000000002</v>
      </c>
      <c r="M7" s="395"/>
      <c r="N7" s="373"/>
      <c r="O7" s="375">
        <f>ROUND(O6/12,2)</f>
        <v>16607.18</v>
      </c>
    </row>
    <row r="8" spans="1:15" ht="16" thickBot="1">
      <c r="A8" s="2081"/>
      <c r="B8" s="358" t="s">
        <v>226</v>
      </c>
      <c r="C8" s="188"/>
      <c r="D8" s="189">
        <f>ROUND(D7/160.33,2)</f>
        <v>111.35</v>
      </c>
      <c r="E8" s="190"/>
      <c r="F8" s="189">
        <f t="shared" ref="F8:O8" si="1">ROUND(F7/160.33,2)</f>
        <v>113.43</v>
      </c>
      <c r="G8" s="189">
        <f t="shared" si="1"/>
        <v>99.09</v>
      </c>
      <c r="H8" s="189">
        <f t="shared" si="1"/>
        <v>114.87</v>
      </c>
      <c r="I8" s="189">
        <f t="shared" si="1"/>
        <v>100.88</v>
      </c>
      <c r="J8" s="189">
        <f t="shared" si="1"/>
        <v>116.95</v>
      </c>
      <c r="K8" s="189">
        <f t="shared" si="1"/>
        <v>102.12</v>
      </c>
      <c r="L8" s="189">
        <f t="shared" si="1"/>
        <v>118.38</v>
      </c>
      <c r="M8" s="189">
        <f t="shared" si="1"/>
        <v>0</v>
      </c>
      <c r="N8" s="189">
        <f t="shared" si="1"/>
        <v>0</v>
      </c>
      <c r="O8" s="189">
        <f t="shared" si="1"/>
        <v>103.58</v>
      </c>
    </row>
    <row r="9" spans="1:15">
      <c r="A9" s="2079">
        <v>2</v>
      </c>
      <c r="B9" s="356" t="s">
        <v>96</v>
      </c>
      <c r="C9" s="191">
        <v>187655</v>
      </c>
      <c r="D9" s="184">
        <f>ROUND((C9*(1+'Løntabel gældende fra'!$D$7%)),0)</f>
        <v>217529</v>
      </c>
      <c r="E9" s="192">
        <v>191187</v>
      </c>
      <c r="F9" s="193">
        <f>ROUND((E9*(1+'Løntabel gældende fra'!$D$7%)),0)</f>
        <v>221623</v>
      </c>
      <c r="G9" s="191">
        <v>193632</v>
      </c>
      <c r="H9" s="184">
        <f>ROUND((G9*(1+'Løntabel gældende fra'!$D$7%)),0)</f>
        <v>224458</v>
      </c>
      <c r="I9" s="192">
        <v>197161</v>
      </c>
      <c r="J9" s="193">
        <f>ROUND((I9*(1+'Løntabel gældende fra'!$D$7%)),0)</f>
        <v>228548</v>
      </c>
      <c r="K9" s="191">
        <v>199607</v>
      </c>
      <c r="L9" s="184">
        <f>ROUND((K9*(1+'Løntabel gældende fra'!$D$7%)),0)</f>
        <v>231384</v>
      </c>
      <c r="M9" s="396"/>
      <c r="N9" s="374">
        <v>174577.34</v>
      </c>
      <c r="O9" s="198">
        <f>ROUND(N9*(1+'Løntabel gældende fra'!$D$7%),2)</f>
        <v>202369.53</v>
      </c>
    </row>
    <row r="10" spans="1:15">
      <c r="A10" s="2080"/>
      <c r="B10" s="378" t="s">
        <v>97</v>
      </c>
      <c r="C10" s="383"/>
      <c r="D10" s="390">
        <f>ROUND(D9/12,2)</f>
        <v>18127.419999999998</v>
      </c>
      <c r="E10" s="387"/>
      <c r="F10" s="372">
        <f>ROUND(F9/12,2)</f>
        <v>18468.580000000002</v>
      </c>
      <c r="G10" s="383">
        <f>G9/12</f>
        <v>16136</v>
      </c>
      <c r="H10" s="390">
        <f>ROUND(H9/12,2)</f>
        <v>18704.830000000002</v>
      </c>
      <c r="I10" s="387">
        <f>I9/12</f>
        <v>16430.083333333332</v>
      </c>
      <c r="J10" s="372">
        <f>ROUND(J9/12,2)</f>
        <v>19045.669999999998</v>
      </c>
      <c r="K10" s="383">
        <f>K9/12</f>
        <v>16633.916666666668</v>
      </c>
      <c r="L10" s="390">
        <f>ROUND(L9/12,2)</f>
        <v>19282</v>
      </c>
      <c r="M10" s="395"/>
      <c r="N10" s="373"/>
      <c r="O10" s="375">
        <f>ROUND(O9/12,2)</f>
        <v>16864.13</v>
      </c>
    </row>
    <row r="11" spans="1:15" ht="16" thickBot="1">
      <c r="A11" s="2081"/>
      <c r="B11" s="358" t="s">
        <v>226</v>
      </c>
      <c r="C11" s="188">
        <f>C9/12</f>
        <v>15637.916666666666</v>
      </c>
      <c r="D11" s="189">
        <f>ROUND(D10/160.33,2)</f>
        <v>113.06</v>
      </c>
      <c r="E11" s="190">
        <f>E9/12</f>
        <v>15932.25</v>
      </c>
      <c r="F11" s="189">
        <f t="shared" ref="F11:O11" si="2">ROUND(F10/160.33,2)</f>
        <v>115.19</v>
      </c>
      <c r="G11" s="189">
        <f t="shared" si="2"/>
        <v>100.64</v>
      </c>
      <c r="H11" s="189">
        <f t="shared" si="2"/>
        <v>116.66</v>
      </c>
      <c r="I11" s="189">
        <f t="shared" si="2"/>
        <v>102.48</v>
      </c>
      <c r="J11" s="189">
        <f t="shared" si="2"/>
        <v>118.79</v>
      </c>
      <c r="K11" s="189">
        <f t="shared" si="2"/>
        <v>103.75</v>
      </c>
      <c r="L11" s="189">
        <f t="shared" si="2"/>
        <v>120.26</v>
      </c>
      <c r="M11" s="189">
        <f t="shared" si="2"/>
        <v>0</v>
      </c>
      <c r="N11" s="189">
        <f t="shared" si="2"/>
        <v>0</v>
      </c>
      <c r="O11" s="189">
        <f t="shared" si="2"/>
        <v>105.18</v>
      </c>
    </row>
    <row r="12" spans="1:15">
      <c r="A12" s="2079">
        <v>3</v>
      </c>
      <c r="B12" s="356" t="s">
        <v>96</v>
      </c>
      <c r="C12" s="191">
        <v>190571</v>
      </c>
      <c r="D12" s="184">
        <f>ROUND((C12*(1+'Løntabel gældende fra'!$D$7%)),0)</f>
        <v>220909</v>
      </c>
      <c r="E12" s="192">
        <v>194187</v>
      </c>
      <c r="F12" s="193">
        <f>ROUND((E12*(1+'Løntabel gældende fra'!$D$7%)),0)</f>
        <v>225101</v>
      </c>
      <c r="G12" s="191">
        <v>196692</v>
      </c>
      <c r="H12" s="184">
        <f>ROUND((G12*(1+'Løntabel gældende fra'!$D$7%)),0)</f>
        <v>228005</v>
      </c>
      <c r="I12" s="192">
        <v>200308</v>
      </c>
      <c r="J12" s="193">
        <f>ROUND((I12*(1+'Løntabel gældende fra'!$D$7%)),0)</f>
        <v>232196</v>
      </c>
      <c r="K12" s="191">
        <v>202814</v>
      </c>
      <c r="L12" s="184">
        <f>ROUND((K12*(1+'Løntabel gældende fra'!$D$7%)),0)</f>
        <v>235101</v>
      </c>
      <c r="M12" s="396"/>
      <c r="N12" s="374">
        <v>177309.48</v>
      </c>
      <c r="O12" s="198">
        <f>ROUND(N12*(1+'Løntabel gældende fra'!$D$7%),2)</f>
        <v>205536.62</v>
      </c>
    </row>
    <row r="13" spans="1:15">
      <c r="A13" s="2080"/>
      <c r="B13" s="378" t="s">
        <v>97</v>
      </c>
      <c r="C13" s="383">
        <f>C12/12</f>
        <v>15880.916666666666</v>
      </c>
      <c r="D13" s="390">
        <f>ROUND(D12/12,2)</f>
        <v>18409.080000000002</v>
      </c>
      <c r="E13" s="387">
        <f>E12/12</f>
        <v>16182.25</v>
      </c>
      <c r="F13" s="372">
        <f>ROUND(F12/12,2)</f>
        <v>18758.419999999998</v>
      </c>
      <c r="G13" s="383">
        <f>G12/12</f>
        <v>16391</v>
      </c>
      <c r="H13" s="390">
        <f>ROUND(H12/12,2)</f>
        <v>19000.419999999998</v>
      </c>
      <c r="I13" s="387">
        <f>I12/12</f>
        <v>16692.333333333332</v>
      </c>
      <c r="J13" s="372">
        <f>ROUND(J12/12,2)</f>
        <v>19349.669999999998</v>
      </c>
      <c r="K13" s="383">
        <f>K12/12</f>
        <v>16901.166666666668</v>
      </c>
      <c r="L13" s="390">
        <f>ROUND(L12/12,2)</f>
        <v>19591.75</v>
      </c>
      <c r="M13" s="395"/>
      <c r="N13" s="373"/>
      <c r="O13" s="375">
        <f>ROUND(O12/12,2)</f>
        <v>17128.05</v>
      </c>
    </row>
    <row r="14" spans="1:15" ht="16" thickBot="1">
      <c r="A14" s="2081"/>
      <c r="B14" s="358" t="s">
        <v>226</v>
      </c>
      <c r="C14" s="384"/>
      <c r="D14" s="189">
        <f>ROUND(D13/160.33,2)</f>
        <v>114.82</v>
      </c>
      <c r="E14" s="388"/>
      <c r="F14" s="189">
        <f t="shared" ref="F14:O14" si="3">ROUND(F13/160.33,2)</f>
        <v>117</v>
      </c>
      <c r="G14" s="189">
        <f t="shared" si="3"/>
        <v>102.23</v>
      </c>
      <c r="H14" s="189">
        <f t="shared" si="3"/>
        <v>118.51</v>
      </c>
      <c r="I14" s="189">
        <f t="shared" si="3"/>
        <v>104.11</v>
      </c>
      <c r="J14" s="189">
        <f t="shared" si="3"/>
        <v>120.69</v>
      </c>
      <c r="K14" s="189">
        <f t="shared" si="3"/>
        <v>105.41</v>
      </c>
      <c r="L14" s="189">
        <f t="shared" si="3"/>
        <v>122.2</v>
      </c>
      <c r="M14" s="189">
        <f t="shared" si="3"/>
        <v>0</v>
      </c>
      <c r="N14" s="189">
        <f t="shared" si="3"/>
        <v>0</v>
      </c>
      <c r="O14" s="189">
        <f t="shared" si="3"/>
        <v>106.83</v>
      </c>
    </row>
    <row r="15" spans="1:15">
      <c r="A15" s="2079">
        <v>4</v>
      </c>
      <c r="B15" s="356" t="s">
        <v>96</v>
      </c>
      <c r="C15" s="191">
        <v>193567</v>
      </c>
      <c r="D15" s="184">
        <f>ROUND((C15*(1+'Løntabel gældende fra'!$D$7%)),0)</f>
        <v>224382</v>
      </c>
      <c r="E15" s="192">
        <v>197274</v>
      </c>
      <c r="F15" s="193">
        <f>ROUND((E15*(1+'Løntabel gældende fra'!$D$7%)),0)</f>
        <v>228679</v>
      </c>
      <c r="G15" s="191">
        <v>199840</v>
      </c>
      <c r="H15" s="184">
        <f>ROUND((G15*(1+'Løntabel gældende fra'!$D$7%)),0)</f>
        <v>231654</v>
      </c>
      <c r="I15" s="192">
        <v>203545</v>
      </c>
      <c r="J15" s="193">
        <f>ROUND((I15*(1+'Løntabel gældende fra'!$D$7%)),0)</f>
        <v>235949</v>
      </c>
      <c r="K15" s="191">
        <v>206110</v>
      </c>
      <c r="L15" s="184">
        <f>ROUND((K15*(1+'Løntabel gældende fra'!$D$7%)),0)</f>
        <v>238922</v>
      </c>
      <c r="M15" s="396"/>
      <c r="N15" s="374">
        <v>180117.41</v>
      </c>
      <c r="O15" s="198">
        <f>ROUND(N15*(1+'Løntabel gældende fra'!$D$7%),2)</f>
        <v>208791.56</v>
      </c>
    </row>
    <row r="16" spans="1:15">
      <c r="A16" s="2080"/>
      <c r="B16" s="378" t="s">
        <v>97</v>
      </c>
      <c r="C16" s="383">
        <f>C15/12</f>
        <v>16130.583333333334</v>
      </c>
      <c r="D16" s="390">
        <f>ROUND(D15/12,2)</f>
        <v>18698.5</v>
      </c>
      <c r="E16" s="387">
        <f>E15/12</f>
        <v>16439.5</v>
      </c>
      <c r="F16" s="372">
        <f>ROUND(F15/12,2)</f>
        <v>19056.580000000002</v>
      </c>
      <c r="G16" s="383">
        <f>G15/12</f>
        <v>16653.333333333332</v>
      </c>
      <c r="H16" s="390">
        <f>ROUND(H15/12,2)</f>
        <v>19304.5</v>
      </c>
      <c r="I16" s="387">
        <f>I15/12</f>
        <v>16962.083333333332</v>
      </c>
      <c r="J16" s="372">
        <f>ROUND(J15/12,2)</f>
        <v>19662.419999999998</v>
      </c>
      <c r="K16" s="383">
        <f>K15/12</f>
        <v>17175.833333333332</v>
      </c>
      <c r="L16" s="390">
        <f>ROUND(L15/12,2)</f>
        <v>19910.169999999998</v>
      </c>
      <c r="M16" s="395"/>
      <c r="N16" s="373"/>
      <c r="O16" s="375">
        <f>ROUND(O15/12,2)</f>
        <v>17399.3</v>
      </c>
    </row>
    <row r="17" spans="1:15" ht="16" thickBot="1">
      <c r="A17" s="2081"/>
      <c r="B17" s="358" t="s">
        <v>226</v>
      </c>
      <c r="C17" s="384"/>
      <c r="D17" s="189">
        <f>ROUND(D16/160.33,2)</f>
        <v>116.63</v>
      </c>
      <c r="E17" s="388"/>
      <c r="F17" s="189">
        <f t="shared" ref="F17:O17" si="4">ROUND(F16/160.33,2)</f>
        <v>118.86</v>
      </c>
      <c r="G17" s="189">
        <f t="shared" si="4"/>
        <v>103.87</v>
      </c>
      <c r="H17" s="189">
        <f t="shared" si="4"/>
        <v>120.4</v>
      </c>
      <c r="I17" s="189">
        <f t="shared" si="4"/>
        <v>105.79</v>
      </c>
      <c r="J17" s="189">
        <f t="shared" si="4"/>
        <v>122.64</v>
      </c>
      <c r="K17" s="189">
        <f t="shared" si="4"/>
        <v>107.13</v>
      </c>
      <c r="L17" s="189">
        <f t="shared" si="4"/>
        <v>124.18</v>
      </c>
      <c r="M17" s="189">
        <f t="shared" si="4"/>
        <v>0</v>
      </c>
      <c r="N17" s="189">
        <f t="shared" si="4"/>
        <v>0</v>
      </c>
      <c r="O17" s="189">
        <f t="shared" si="4"/>
        <v>108.52</v>
      </c>
    </row>
    <row r="18" spans="1:15">
      <c r="A18" s="2079">
        <v>5</v>
      </c>
      <c r="B18" s="356" t="s">
        <v>96</v>
      </c>
      <c r="C18" s="191">
        <v>196645</v>
      </c>
      <c r="D18" s="184">
        <f>ROUND((C18*(1+'Løntabel gældende fra'!$D$7%)),0)</f>
        <v>227950</v>
      </c>
      <c r="E18" s="192">
        <v>200442</v>
      </c>
      <c r="F18" s="193">
        <f>ROUND((E18*(1+'Løntabel gældende fra'!$D$7%)),0)</f>
        <v>232352</v>
      </c>
      <c r="G18" s="191">
        <v>203072</v>
      </c>
      <c r="H18" s="184">
        <f>ROUND((G18*(1+'Løntabel gældende fra'!$D$7%)),0)</f>
        <v>235400</v>
      </c>
      <c r="I18" s="192">
        <v>206869</v>
      </c>
      <c r="J18" s="193">
        <f>ROUND((I18*(1+'Løntabel gældende fra'!$D$7%)),0)</f>
        <v>239802</v>
      </c>
      <c r="K18" s="191">
        <v>209497</v>
      </c>
      <c r="L18" s="184">
        <f>ROUND((K18*(1+'Løntabel gældende fra'!$D$7%)),0)</f>
        <v>242848</v>
      </c>
      <c r="M18" s="396"/>
      <c r="N18" s="374">
        <v>183001.14</v>
      </c>
      <c r="O18" s="198">
        <f>ROUND(N18*(1+'Løntabel gældende fra'!$D$7%),2)</f>
        <v>212134.37</v>
      </c>
    </row>
    <row r="19" spans="1:15">
      <c r="A19" s="2080"/>
      <c r="B19" s="378" t="s">
        <v>97</v>
      </c>
      <c r="C19" s="383">
        <f>C18/12</f>
        <v>16387.083333333332</v>
      </c>
      <c r="D19" s="390">
        <f>ROUND(D18/12,2)</f>
        <v>18995.830000000002</v>
      </c>
      <c r="E19" s="387">
        <f>E18/12</f>
        <v>16703.5</v>
      </c>
      <c r="F19" s="372">
        <f>ROUND(F18/12,2)</f>
        <v>19362.669999999998</v>
      </c>
      <c r="G19" s="383">
        <f>G18/12</f>
        <v>16922.666666666668</v>
      </c>
      <c r="H19" s="390">
        <f>ROUND(H18/12,2)</f>
        <v>19616.669999999998</v>
      </c>
      <c r="I19" s="387">
        <f>I18/12</f>
        <v>17239.083333333332</v>
      </c>
      <c r="J19" s="372">
        <f>ROUND(J18/12,2)</f>
        <v>19983.5</v>
      </c>
      <c r="K19" s="383">
        <f>K18/12</f>
        <v>17458.083333333332</v>
      </c>
      <c r="L19" s="390">
        <f>ROUND(L18/12,2)</f>
        <v>20237.330000000002</v>
      </c>
      <c r="M19" s="395"/>
      <c r="N19" s="373"/>
      <c r="O19" s="375">
        <f>ROUND(O18/12,2)</f>
        <v>17677.86</v>
      </c>
    </row>
    <row r="20" spans="1:15" ht="16" thickBot="1">
      <c r="A20" s="2081"/>
      <c r="B20" s="358" t="s">
        <v>226</v>
      </c>
      <c r="C20" s="384"/>
      <c r="D20" s="189">
        <f>ROUND(D19/160.33,2)</f>
        <v>118.48</v>
      </c>
      <c r="E20" s="388"/>
      <c r="F20" s="189">
        <f t="shared" ref="F20:O20" si="5">ROUND(F19/160.33,2)</f>
        <v>120.77</v>
      </c>
      <c r="G20" s="189">
        <f t="shared" si="5"/>
        <v>105.55</v>
      </c>
      <c r="H20" s="189">
        <f t="shared" si="5"/>
        <v>122.35</v>
      </c>
      <c r="I20" s="189">
        <f t="shared" si="5"/>
        <v>107.52</v>
      </c>
      <c r="J20" s="189">
        <f t="shared" si="5"/>
        <v>124.64</v>
      </c>
      <c r="K20" s="189">
        <f t="shared" si="5"/>
        <v>108.89</v>
      </c>
      <c r="L20" s="189">
        <f t="shared" si="5"/>
        <v>126.22</v>
      </c>
      <c r="M20" s="189">
        <f t="shared" si="5"/>
        <v>0</v>
      </c>
      <c r="N20" s="189">
        <f t="shared" si="5"/>
        <v>0</v>
      </c>
      <c r="O20" s="189">
        <f t="shared" si="5"/>
        <v>110.26</v>
      </c>
    </row>
    <row r="21" spans="1:15">
      <c r="A21" s="2082">
        <v>6</v>
      </c>
      <c r="B21" s="182" t="s">
        <v>96</v>
      </c>
      <c r="C21" s="183">
        <v>199810</v>
      </c>
      <c r="D21" s="187">
        <f>ROUND((C21*(1+'Løntabel gældende fra'!$D$7%)),0)</f>
        <v>231619</v>
      </c>
      <c r="E21" s="185">
        <v>203700</v>
      </c>
      <c r="F21" s="186">
        <f>ROUND((E21*(1+'Løntabel gældende fra'!$D$7%)),0)</f>
        <v>236128</v>
      </c>
      <c r="G21" s="183">
        <v>206395</v>
      </c>
      <c r="H21" s="187">
        <f>ROUND((G21*(1+'Løntabel gældende fra'!$D$7%)),0)</f>
        <v>239252</v>
      </c>
      <c r="I21" s="185">
        <v>210285</v>
      </c>
      <c r="J21" s="186">
        <f>ROUND((I21*(1+'Løntabel gældende fra'!$D$7%)),0)</f>
        <v>243762</v>
      </c>
      <c r="K21" s="183">
        <v>212978</v>
      </c>
      <c r="L21" s="187">
        <f>ROUND((K21*(1+'Løntabel gældende fra'!$D$7%)),0)</f>
        <v>246883</v>
      </c>
      <c r="M21" s="397"/>
      <c r="N21" s="376">
        <v>185966.06</v>
      </c>
      <c r="O21" s="377">
        <f>ROUND(N21*(1+'Løntabel gældende fra'!$D$7%),2)</f>
        <v>215571.3</v>
      </c>
    </row>
    <row r="22" spans="1:15">
      <c r="A22" s="2080"/>
      <c r="B22" s="378" t="s">
        <v>97</v>
      </c>
      <c r="C22" s="383">
        <f>C21/12</f>
        <v>16650.833333333332</v>
      </c>
      <c r="D22" s="390">
        <f>ROUND(D21/12,2)</f>
        <v>19301.580000000002</v>
      </c>
      <c r="E22" s="387">
        <f>E21/12</f>
        <v>16975</v>
      </c>
      <c r="F22" s="372">
        <f>ROUND(F21/12,2)</f>
        <v>19677.330000000002</v>
      </c>
      <c r="G22" s="383">
        <f>G21/12</f>
        <v>17199.583333333332</v>
      </c>
      <c r="H22" s="390">
        <f>ROUND(H21/12,2)</f>
        <v>19937.669999999998</v>
      </c>
      <c r="I22" s="387">
        <f>I21/12</f>
        <v>17523.75</v>
      </c>
      <c r="J22" s="372">
        <f>ROUND(J21/12,2)</f>
        <v>20313.5</v>
      </c>
      <c r="K22" s="383">
        <f>K21/12</f>
        <v>17748.166666666668</v>
      </c>
      <c r="L22" s="390">
        <f>ROUND(L21/12,2)</f>
        <v>20573.580000000002</v>
      </c>
      <c r="M22" s="395"/>
      <c r="N22" s="373"/>
      <c r="O22" s="375">
        <f>ROUND(O21/12,2)</f>
        <v>17964.28</v>
      </c>
    </row>
    <row r="23" spans="1:15" ht="16" thickBot="1">
      <c r="A23" s="2083"/>
      <c r="B23" s="379" t="s">
        <v>226</v>
      </c>
      <c r="C23" s="385"/>
      <c r="D23" s="391">
        <f>ROUND(D22/160.33,2)</f>
        <v>120.39</v>
      </c>
      <c r="E23" s="389"/>
      <c r="F23" s="391">
        <f t="shared" ref="F23:O23" si="6">ROUND(F22/160.33,2)</f>
        <v>122.73</v>
      </c>
      <c r="G23" s="391">
        <f t="shared" si="6"/>
        <v>107.28</v>
      </c>
      <c r="H23" s="391">
        <f t="shared" si="6"/>
        <v>124.35</v>
      </c>
      <c r="I23" s="391">
        <f t="shared" si="6"/>
        <v>109.3</v>
      </c>
      <c r="J23" s="391">
        <f t="shared" si="6"/>
        <v>126.7</v>
      </c>
      <c r="K23" s="391">
        <f t="shared" si="6"/>
        <v>110.7</v>
      </c>
      <c r="L23" s="391">
        <f t="shared" si="6"/>
        <v>128.32</v>
      </c>
      <c r="M23" s="391">
        <f t="shared" si="6"/>
        <v>0</v>
      </c>
      <c r="N23" s="391">
        <f t="shared" si="6"/>
        <v>0</v>
      </c>
      <c r="O23" s="391">
        <f t="shared" si="6"/>
        <v>112.05</v>
      </c>
    </row>
    <row r="24" spans="1:15">
      <c r="A24" s="2079">
        <v>7</v>
      </c>
      <c r="B24" s="356" t="s">
        <v>96</v>
      </c>
      <c r="C24" s="191">
        <v>203058</v>
      </c>
      <c r="D24" s="184">
        <f>ROUND((C24*(1+'Løntabel gældende fra'!$D$7%)),0)</f>
        <v>235384</v>
      </c>
      <c r="E24" s="192">
        <v>207045</v>
      </c>
      <c r="F24" s="193">
        <f>ROUND((E24*(1+'Løntabel gældende fra'!$D$7%)),0)</f>
        <v>240006</v>
      </c>
      <c r="G24" s="191">
        <v>209805</v>
      </c>
      <c r="H24" s="184">
        <f>ROUND((G24*(1+'Løntabel gældende fra'!$D$7%)),0)</f>
        <v>243205</v>
      </c>
      <c r="I24" s="192">
        <v>213792</v>
      </c>
      <c r="J24" s="193">
        <f>ROUND((I24*(1+'Løntabel gældende fra'!$D$7%)),0)</f>
        <v>247827</v>
      </c>
      <c r="K24" s="191">
        <v>216551</v>
      </c>
      <c r="L24" s="184">
        <f>ROUND((K24*(1+'Løntabel gældende fra'!$D$7%)),0)</f>
        <v>251025</v>
      </c>
      <c r="M24" s="396"/>
      <c r="N24" s="374">
        <v>189010.4</v>
      </c>
      <c r="O24" s="198">
        <f>ROUND(N24*(1+'Løntabel gældende fra'!$D$7%),2)</f>
        <v>219100.29</v>
      </c>
    </row>
    <row r="25" spans="1:15">
      <c r="A25" s="2080"/>
      <c r="B25" s="378" t="s">
        <v>97</v>
      </c>
      <c r="C25" s="383"/>
      <c r="D25" s="390">
        <f>ROUND(D24/12,2)</f>
        <v>19615.330000000002</v>
      </c>
      <c r="E25" s="387">
        <f>E24/12</f>
        <v>17253.75</v>
      </c>
      <c r="F25" s="372">
        <f>ROUND(F24/12,2)</f>
        <v>20000.5</v>
      </c>
      <c r="G25" s="383">
        <f>G24/12</f>
        <v>17483.75</v>
      </c>
      <c r="H25" s="390">
        <f>ROUND(H24/12,2)</f>
        <v>20267.080000000002</v>
      </c>
      <c r="I25" s="387">
        <f>I24/12</f>
        <v>17816</v>
      </c>
      <c r="J25" s="372">
        <f>ROUND(J24/12,2)</f>
        <v>20652.25</v>
      </c>
      <c r="K25" s="383">
        <f>K24/12</f>
        <v>18045.916666666668</v>
      </c>
      <c r="L25" s="390">
        <f>ROUND(L24/12,2)</f>
        <v>20918.75</v>
      </c>
      <c r="M25" s="395"/>
      <c r="N25" s="373"/>
      <c r="O25" s="375">
        <f>ROUND(O24/12,2)</f>
        <v>18258.36</v>
      </c>
    </row>
    <row r="26" spans="1:15" ht="16" thickBot="1">
      <c r="A26" s="2081"/>
      <c r="B26" s="358" t="s">
        <v>226</v>
      </c>
      <c r="C26" s="188">
        <f>C24/12</f>
        <v>16921.5</v>
      </c>
      <c r="D26" s="189">
        <f>ROUND(D25/160.33,2)</f>
        <v>122.34</v>
      </c>
      <c r="E26" s="388"/>
      <c r="F26" s="189">
        <f t="shared" ref="F26:O26" si="7">ROUND(F25/160.33,2)</f>
        <v>124.75</v>
      </c>
      <c r="G26" s="189">
        <f t="shared" si="7"/>
        <v>109.05</v>
      </c>
      <c r="H26" s="189">
        <f t="shared" si="7"/>
        <v>126.41</v>
      </c>
      <c r="I26" s="189">
        <f t="shared" si="7"/>
        <v>111.12</v>
      </c>
      <c r="J26" s="189">
        <f t="shared" si="7"/>
        <v>128.81</v>
      </c>
      <c r="K26" s="189">
        <f t="shared" si="7"/>
        <v>112.55</v>
      </c>
      <c r="L26" s="189">
        <f t="shared" si="7"/>
        <v>130.47</v>
      </c>
      <c r="M26" s="189">
        <f t="shared" si="7"/>
        <v>0</v>
      </c>
      <c r="N26" s="189">
        <f t="shared" si="7"/>
        <v>0</v>
      </c>
      <c r="O26" s="189">
        <f t="shared" si="7"/>
        <v>113.88</v>
      </c>
    </row>
    <row r="27" spans="1:15">
      <c r="A27" s="2082">
        <v>8</v>
      </c>
      <c r="B27" s="182" t="s">
        <v>96</v>
      </c>
      <c r="C27" s="183">
        <v>206396</v>
      </c>
      <c r="D27" s="187">
        <f>ROUND((C27*(1+'Løntabel gældende fra'!$D$7%)),0)</f>
        <v>239254</v>
      </c>
      <c r="E27" s="185">
        <v>210482</v>
      </c>
      <c r="F27" s="186">
        <f>ROUND((E27*(1+'Løntabel gældende fra'!$D$7%)),0)</f>
        <v>243990</v>
      </c>
      <c r="G27" s="183">
        <v>213311</v>
      </c>
      <c r="H27" s="187">
        <f>ROUND((G27*(1+'Løntabel gældende fra'!$D$7%)),0)</f>
        <v>247269</v>
      </c>
      <c r="I27" s="185">
        <v>217397</v>
      </c>
      <c r="J27" s="186">
        <f>ROUND((I27*(1+'Løntabel gældende fra'!$D$7%)),0)</f>
        <v>252006</v>
      </c>
      <c r="K27" s="183">
        <v>220226</v>
      </c>
      <c r="L27" s="187">
        <f>ROUND((K27*(1+'Løntabel gældende fra'!$D$7%)),0)</f>
        <v>255285</v>
      </c>
      <c r="M27" s="397"/>
      <c r="N27" s="376">
        <v>192139.54</v>
      </c>
      <c r="O27" s="377">
        <f>ROUND(N27*(1+'Løntabel gældende fra'!$D$7%),2)</f>
        <v>222727.58</v>
      </c>
    </row>
    <row r="28" spans="1:15">
      <c r="A28" s="2080"/>
      <c r="B28" s="378" t="s">
        <v>97</v>
      </c>
      <c r="C28" s="383"/>
      <c r="D28" s="390">
        <f>ROUND(D27/12,2)</f>
        <v>19937.830000000002</v>
      </c>
      <c r="E28" s="387">
        <f>E27/12</f>
        <v>17540.166666666668</v>
      </c>
      <c r="F28" s="372">
        <f>ROUND(F27/12,2)</f>
        <v>20332.5</v>
      </c>
      <c r="G28" s="383">
        <f>G27/12</f>
        <v>17775.916666666668</v>
      </c>
      <c r="H28" s="390">
        <f>ROUND(H27/12,2)</f>
        <v>20605.75</v>
      </c>
      <c r="I28" s="387">
        <f>I27/12</f>
        <v>18116.416666666668</v>
      </c>
      <c r="J28" s="372">
        <f>ROUND(J27/12,2)</f>
        <v>21000.5</v>
      </c>
      <c r="K28" s="383">
        <f>K27/12</f>
        <v>18352.166666666668</v>
      </c>
      <c r="L28" s="390">
        <f>ROUND(L27/12,2)</f>
        <v>21273.75</v>
      </c>
      <c r="M28" s="395"/>
      <c r="N28" s="373"/>
      <c r="O28" s="375">
        <f>ROUND(O27/12,2)</f>
        <v>18560.63</v>
      </c>
    </row>
    <row r="29" spans="1:15" ht="16" thickBot="1">
      <c r="A29" s="2083"/>
      <c r="B29" s="379" t="s">
        <v>226</v>
      </c>
      <c r="C29" s="386">
        <f>C27/12</f>
        <v>17199.666666666668</v>
      </c>
      <c r="D29" s="391">
        <f>ROUND(D28/160.33,2)</f>
        <v>124.35</v>
      </c>
      <c r="E29" s="389"/>
      <c r="F29" s="391">
        <f t="shared" ref="F29:O29" si="8">ROUND(F28/160.33,2)</f>
        <v>126.82</v>
      </c>
      <c r="G29" s="391">
        <f t="shared" si="8"/>
        <v>110.87</v>
      </c>
      <c r="H29" s="391">
        <f t="shared" si="8"/>
        <v>128.52000000000001</v>
      </c>
      <c r="I29" s="391">
        <f t="shared" si="8"/>
        <v>112.99</v>
      </c>
      <c r="J29" s="391">
        <f t="shared" si="8"/>
        <v>130.97999999999999</v>
      </c>
      <c r="K29" s="391">
        <f t="shared" si="8"/>
        <v>114.46</v>
      </c>
      <c r="L29" s="391">
        <f t="shared" si="8"/>
        <v>132.69</v>
      </c>
      <c r="M29" s="391">
        <f t="shared" si="8"/>
        <v>0</v>
      </c>
      <c r="N29" s="391">
        <f t="shared" si="8"/>
        <v>0</v>
      </c>
      <c r="O29" s="391">
        <f t="shared" si="8"/>
        <v>115.77</v>
      </c>
    </row>
    <row r="30" spans="1:15">
      <c r="A30" s="2079">
        <v>9</v>
      </c>
      <c r="B30" s="356" t="s">
        <v>96</v>
      </c>
      <c r="C30" s="191">
        <v>209829</v>
      </c>
      <c r="D30" s="184">
        <f>ROUND((C30*(1+'Løntabel gældende fra'!$D$7%)),0)</f>
        <v>243233</v>
      </c>
      <c r="E30" s="192">
        <v>214015</v>
      </c>
      <c r="F30" s="193">
        <f>ROUND((E30*(1+'Løntabel gældende fra'!$D$7%)),0)</f>
        <v>248086</v>
      </c>
      <c r="G30" s="191">
        <v>216916</v>
      </c>
      <c r="H30" s="184">
        <f>ROUND((G30*(1+'Løntabel gældende fra'!$D$7%)),0)</f>
        <v>251448</v>
      </c>
      <c r="I30" s="192">
        <v>221102</v>
      </c>
      <c r="J30" s="193">
        <f>ROUND((I30*(1+'Løntabel gældende fra'!$D$7%)),0)</f>
        <v>256301</v>
      </c>
      <c r="K30" s="191">
        <v>224002</v>
      </c>
      <c r="L30" s="184">
        <f>ROUND((K30*(1+'Løntabel gældende fra'!$D$7%)),0)</f>
        <v>259662</v>
      </c>
      <c r="M30" s="396"/>
      <c r="N30" s="374">
        <v>195355.31</v>
      </c>
      <c r="O30" s="198">
        <f>ROUND(N30*(1+'Løntabel gældende fra'!$D$7%),2)</f>
        <v>226455.29</v>
      </c>
    </row>
    <row r="31" spans="1:15">
      <c r="A31" s="2080"/>
      <c r="B31" s="378" t="s">
        <v>231</v>
      </c>
      <c r="C31" s="383"/>
      <c r="D31" s="390">
        <f>ROUND(D30/12,2)</f>
        <v>20269.419999999998</v>
      </c>
      <c r="E31" s="387">
        <f>E30/12</f>
        <v>17834.583333333332</v>
      </c>
      <c r="F31" s="372">
        <f>ROUND(F30/12,2)</f>
        <v>20673.830000000002</v>
      </c>
      <c r="G31" s="383">
        <f>G30/12</f>
        <v>18076.333333333332</v>
      </c>
      <c r="H31" s="390">
        <f>ROUND(H30/12,2)</f>
        <v>20954</v>
      </c>
      <c r="I31" s="387">
        <f>I30/12</f>
        <v>18425.166666666668</v>
      </c>
      <c r="J31" s="372">
        <f>ROUND(J30/12,2)</f>
        <v>21358.42</v>
      </c>
      <c r="K31" s="383">
        <f>K30/12</f>
        <v>18666.833333333332</v>
      </c>
      <c r="L31" s="390">
        <f>ROUND(L30/12,2)</f>
        <v>21638.5</v>
      </c>
      <c r="M31" s="395"/>
      <c r="N31" s="373"/>
      <c r="O31" s="375">
        <f>ROUND(O30/12,2)</f>
        <v>18871.27</v>
      </c>
    </row>
    <row r="32" spans="1:15" ht="16" thickBot="1">
      <c r="A32" s="2081"/>
      <c r="B32" s="358" t="s">
        <v>226</v>
      </c>
      <c r="C32" s="188">
        <f>C30/12</f>
        <v>17485.75</v>
      </c>
      <c r="D32" s="189">
        <f>ROUND(D31/160.33,2)</f>
        <v>126.42</v>
      </c>
      <c r="E32" s="388"/>
      <c r="F32" s="189">
        <f t="shared" ref="F32:O32" si="9">ROUND(F31/160.33,2)</f>
        <v>128.94999999999999</v>
      </c>
      <c r="G32" s="189">
        <f t="shared" si="9"/>
        <v>112.74</v>
      </c>
      <c r="H32" s="189">
        <f t="shared" si="9"/>
        <v>130.69</v>
      </c>
      <c r="I32" s="189">
        <f t="shared" si="9"/>
        <v>114.92</v>
      </c>
      <c r="J32" s="189">
        <f t="shared" si="9"/>
        <v>133.22</v>
      </c>
      <c r="K32" s="189">
        <f t="shared" si="9"/>
        <v>116.43</v>
      </c>
      <c r="L32" s="189">
        <f t="shared" si="9"/>
        <v>134.96</v>
      </c>
      <c r="M32" s="189">
        <f t="shared" si="9"/>
        <v>0</v>
      </c>
      <c r="N32" s="189">
        <f t="shared" si="9"/>
        <v>0</v>
      </c>
      <c r="O32" s="189">
        <f t="shared" si="9"/>
        <v>117.7</v>
      </c>
    </row>
    <row r="33" spans="1:15">
      <c r="A33" s="2082">
        <v>10</v>
      </c>
      <c r="B33" s="182" t="s">
        <v>96</v>
      </c>
      <c r="C33" s="183">
        <v>213353</v>
      </c>
      <c r="D33" s="187">
        <f>ROUND((C33*(1+'Løntabel gældende fra'!$D$7%)),0)</f>
        <v>247318</v>
      </c>
      <c r="E33" s="185">
        <v>217646</v>
      </c>
      <c r="F33" s="186">
        <f>ROUND((E33*(1+'Løntabel gældende fra'!$D$7%)),0)</f>
        <v>252295</v>
      </c>
      <c r="G33" s="183">
        <v>220617</v>
      </c>
      <c r="H33" s="187">
        <f>ROUND((G33*(1+'Løntabel gældende fra'!$D$7%)),0)</f>
        <v>255739</v>
      </c>
      <c r="I33" s="185">
        <v>224909</v>
      </c>
      <c r="J33" s="186">
        <f>ROUND((I33*(1+'Løntabel gældende fra'!$D$7%)),0)</f>
        <v>260714</v>
      </c>
      <c r="K33" s="183">
        <v>227882</v>
      </c>
      <c r="L33" s="187">
        <f>ROUND((K33*(1+'Løntabel gældende fra'!$D$7%)),0)</f>
        <v>264160</v>
      </c>
      <c r="M33" s="397"/>
      <c r="N33" s="376">
        <v>198659.5</v>
      </c>
      <c r="O33" s="377">
        <f>ROUND(N33*(1+'Løntabel gældende fra'!$D$7%),2)</f>
        <v>230285.5</v>
      </c>
    </row>
    <row r="34" spans="1:15">
      <c r="A34" s="2080"/>
      <c r="B34" s="378" t="s">
        <v>97</v>
      </c>
      <c r="C34" s="383"/>
      <c r="D34" s="390">
        <f>ROUND(D33/12,2)</f>
        <v>20609.830000000002</v>
      </c>
      <c r="E34" s="387">
        <f>E33/12</f>
        <v>18137.166666666668</v>
      </c>
      <c r="F34" s="372">
        <f>ROUND(F33/12,2)</f>
        <v>21024.58</v>
      </c>
      <c r="G34" s="383">
        <f>G33/12</f>
        <v>18384.75</v>
      </c>
      <c r="H34" s="390">
        <f>ROUND(H33/12,2)</f>
        <v>21311.58</v>
      </c>
      <c r="I34" s="387">
        <f>I33/12</f>
        <v>18742.416666666668</v>
      </c>
      <c r="J34" s="372">
        <f>ROUND(J33/12,2)</f>
        <v>21726.17</v>
      </c>
      <c r="K34" s="383">
        <f>K33/12</f>
        <v>18990.166666666668</v>
      </c>
      <c r="L34" s="390">
        <f>ROUND(L33/12,2)</f>
        <v>22013.33</v>
      </c>
      <c r="M34" s="395"/>
      <c r="N34" s="373"/>
      <c r="O34" s="375">
        <f>ROUND(O33/12,2)</f>
        <v>19190.46</v>
      </c>
    </row>
    <row r="35" spans="1:15" ht="16" thickBot="1">
      <c r="A35" s="2083"/>
      <c r="B35" s="379" t="s">
        <v>226</v>
      </c>
      <c r="C35" s="386">
        <f>C33/12</f>
        <v>17779.416666666668</v>
      </c>
      <c r="D35" s="391">
        <f>ROUND(D34/160.33,2)</f>
        <v>128.55000000000001</v>
      </c>
      <c r="E35" s="389"/>
      <c r="F35" s="391">
        <f t="shared" ref="F35:O35" si="10">ROUND(F34/160.33,2)</f>
        <v>131.13</v>
      </c>
      <c r="G35" s="391">
        <f t="shared" si="10"/>
        <v>114.67</v>
      </c>
      <c r="H35" s="391">
        <f t="shared" si="10"/>
        <v>132.91999999999999</v>
      </c>
      <c r="I35" s="391">
        <f t="shared" si="10"/>
        <v>116.9</v>
      </c>
      <c r="J35" s="391">
        <f t="shared" si="10"/>
        <v>135.51</v>
      </c>
      <c r="K35" s="391">
        <f t="shared" si="10"/>
        <v>118.44</v>
      </c>
      <c r="L35" s="391">
        <f t="shared" si="10"/>
        <v>137.30000000000001</v>
      </c>
      <c r="M35" s="391">
        <f t="shared" si="10"/>
        <v>0</v>
      </c>
      <c r="N35" s="391">
        <f t="shared" si="10"/>
        <v>0</v>
      </c>
      <c r="O35" s="391">
        <f t="shared" si="10"/>
        <v>119.69</v>
      </c>
    </row>
    <row r="36" spans="1:15">
      <c r="A36" s="2079">
        <v>11</v>
      </c>
      <c r="B36" s="356" t="s">
        <v>96</v>
      </c>
      <c r="C36" s="191">
        <v>216134</v>
      </c>
      <c r="D36" s="184">
        <f>ROUND((C36*(1+'Løntabel gældende fra'!$D$7%)),0)</f>
        <v>250542</v>
      </c>
      <c r="E36" s="192">
        <v>220533</v>
      </c>
      <c r="F36" s="193">
        <f>ROUND((E36*(1+'Løntabel gældende fra'!$D$7%)),0)</f>
        <v>255641</v>
      </c>
      <c r="G36" s="191">
        <v>223579</v>
      </c>
      <c r="H36" s="184">
        <f>ROUND((G36*(1+'Løntabel gældende fra'!$D$7%)),0)</f>
        <v>259172</v>
      </c>
      <c r="I36" s="192">
        <v>227978</v>
      </c>
      <c r="J36" s="193">
        <f>ROUND((I36*(1+'Løntabel gældende fra'!$D$7%)),0)</f>
        <v>264271</v>
      </c>
      <c r="K36" s="191">
        <v>231023</v>
      </c>
      <c r="L36" s="184">
        <f>ROUND((K36*(1+'Løntabel gældende fra'!$D$7%)),0)</f>
        <v>267801</v>
      </c>
      <c r="M36" s="396"/>
      <c r="N36" s="374">
        <v>202053.93</v>
      </c>
      <c r="O36" s="198">
        <f>ROUND(N36*(1+'Løntabel gældende fra'!$D$7%),2)</f>
        <v>234220.31</v>
      </c>
    </row>
    <row r="37" spans="1:15">
      <c r="A37" s="2080"/>
      <c r="B37" s="378" t="s">
        <v>231</v>
      </c>
      <c r="C37" s="383"/>
      <c r="D37" s="390">
        <f>ROUND(D36/12,2)</f>
        <v>20878.5</v>
      </c>
      <c r="E37" s="387">
        <f>E36/12</f>
        <v>18377.75</v>
      </c>
      <c r="F37" s="372">
        <f>ROUND(F36/12,2)</f>
        <v>21303.42</v>
      </c>
      <c r="G37" s="383">
        <f>G36/12</f>
        <v>18631.583333333332</v>
      </c>
      <c r="H37" s="390">
        <f>ROUND(H36/12,2)</f>
        <v>21597.67</v>
      </c>
      <c r="I37" s="387">
        <f>I36/12</f>
        <v>18998.166666666668</v>
      </c>
      <c r="J37" s="372">
        <f>ROUND(J36/12,2)</f>
        <v>22022.58</v>
      </c>
      <c r="K37" s="383">
        <f>K36/12</f>
        <v>19251.916666666668</v>
      </c>
      <c r="L37" s="390">
        <f>ROUND(L36/12,2)</f>
        <v>22316.75</v>
      </c>
      <c r="M37" s="395"/>
      <c r="N37" s="373"/>
      <c r="O37" s="375">
        <f>ROUND(O36/12,2)</f>
        <v>19518.36</v>
      </c>
    </row>
    <row r="38" spans="1:15" ht="16" thickBot="1">
      <c r="A38" s="2081"/>
      <c r="B38" s="358" t="s">
        <v>226</v>
      </c>
      <c r="C38" s="188">
        <f>C36/12</f>
        <v>18011.166666666668</v>
      </c>
      <c r="D38" s="189">
        <f>ROUND(D37/160.33,2)</f>
        <v>130.22</v>
      </c>
      <c r="E38" s="388"/>
      <c r="F38" s="189">
        <f t="shared" ref="F38:O38" si="11">ROUND(F37/160.33,2)</f>
        <v>132.87</v>
      </c>
      <c r="G38" s="189">
        <f t="shared" si="11"/>
        <v>116.21</v>
      </c>
      <c r="H38" s="189">
        <f t="shared" si="11"/>
        <v>134.71</v>
      </c>
      <c r="I38" s="189">
        <f t="shared" si="11"/>
        <v>118.49</v>
      </c>
      <c r="J38" s="189">
        <f t="shared" si="11"/>
        <v>137.36000000000001</v>
      </c>
      <c r="K38" s="189">
        <f t="shared" si="11"/>
        <v>120.08</v>
      </c>
      <c r="L38" s="189">
        <f t="shared" si="11"/>
        <v>139.19</v>
      </c>
      <c r="M38" s="189">
        <f t="shared" si="11"/>
        <v>0</v>
      </c>
      <c r="N38" s="189">
        <f t="shared" si="11"/>
        <v>0</v>
      </c>
      <c r="O38" s="189">
        <f t="shared" si="11"/>
        <v>121.74</v>
      </c>
    </row>
    <row r="39" spans="1:15">
      <c r="A39" s="2082">
        <v>12</v>
      </c>
      <c r="B39" s="182" t="s">
        <v>96</v>
      </c>
      <c r="C39" s="183">
        <v>219855</v>
      </c>
      <c r="D39" s="187">
        <f>ROUND((C39*(1+'Løntabel gældende fra'!$D$7%)),0)</f>
        <v>254855</v>
      </c>
      <c r="E39" s="185">
        <v>224365</v>
      </c>
      <c r="F39" s="186">
        <f>ROUND((E39*(1+'Løntabel gældende fra'!$D$7%)),0)</f>
        <v>260083</v>
      </c>
      <c r="G39" s="183">
        <v>227489</v>
      </c>
      <c r="H39" s="187">
        <f>ROUND((G39*(1+'Løntabel gældende fra'!$D$7%)),0)</f>
        <v>263705</v>
      </c>
      <c r="I39" s="185">
        <v>231997</v>
      </c>
      <c r="J39" s="186">
        <f>ROUND((I39*(1+'Løntabel gældende fra'!$D$7%)),0)</f>
        <v>268930</v>
      </c>
      <c r="K39" s="183">
        <v>235119</v>
      </c>
      <c r="L39" s="187">
        <f>ROUND((K39*(1+'Løntabel gældende fra'!$D$7%)),0)</f>
        <v>272549</v>
      </c>
      <c r="M39" s="397"/>
      <c r="N39" s="376">
        <v>205542.18</v>
      </c>
      <c r="O39" s="377">
        <f>ROUND(N39*(1+'Løntabel gældende fra'!$D$7%),2)</f>
        <v>238263.88</v>
      </c>
    </row>
    <row r="40" spans="1:15">
      <c r="A40" s="2080"/>
      <c r="B40" s="378" t="s">
        <v>97</v>
      </c>
      <c r="C40" s="383"/>
      <c r="D40" s="390">
        <f>ROUND(D39/12,2)</f>
        <v>21237.919999999998</v>
      </c>
      <c r="E40" s="387">
        <f>E39/12</f>
        <v>18697.083333333332</v>
      </c>
      <c r="F40" s="372">
        <f>ROUND(F39/12,2)</f>
        <v>21673.58</v>
      </c>
      <c r="G40" s="383">
        <f>G39/12</f>
        <v>18957.416666666668</v>
      </c>
      <c r="H40" s="390">
        <f>ROUND(H39/12,2)</f>
        <v>21975.42</v>
      </c>
      <c r="I40" s="387">
        <f>I39/12</f>
        <v>19333.083333333332</v>
      </c>
      <c r="J40" s="372">
        <f>ROUND(J39/12,2)</f>
        <v>22410.83</v>
      </c>
      <c r="K40" s="383">
        <f>K39/12</f>
        <v>19593.25</v>
      </c>
      <c r="L40" s="390">
        <f>ROUND(L39/12,2)</f>
        <v>22712.42</v>
      </c>
      <c r="M40" s="395"/>
      <c r="N40" s="373"/>
      <c r="O40" s="375">
        <f>ROUND(O39/12,2)</f>
        <v>19855.32</v>
      </c>
    </row>
    <row r="41" spans="1:15" ht="16" thickBot="1">
      <c r="A41" s="2083"/>
      <c r="B41" s="379" t="s">
        <v>226</v>
      </c>
      <c r="C41" s="386">
        <f>C39/12</f>
        <v>18321.25</v>
      </c>
      <c r="D41" s="391">
        <f>ROUND(D40/160.33,2)</f>
        <v>132.46</v>
      </c>
      <c r="E41" s="391">
        <f t="shared" ref="E41:O41" si="12">ROUND(E40/160.33,2)</f>
        <v>116.62</v>
      </c>
      <c r="F41" s="391">
        <f t="shared" si="12"/>
        <v>135.18</v>
      </c>
      <c r="G41" s="391">
        <f t="shared" si="12"/>
        <v>118.24</v>
      </c>
      <c r="H41" s="391">
        <f t="shared" si="12"/>
        <v>137.06</v>
      </c>
      <c r="I41" s="391">
        <f t="shared" si="12"/>
        <v>120.58</v>
      </c>
      <c r="J41" s="391">
        <f t="shared" si="12"/>
        <v>139.78</v>
      </c>
      <c r="K41" s="391">
        <f t="shared" si="12"/>
        <v>122.21</v>
      </c>
      <c r="L41" s="391">
        <f t="shared" si="12"/>
        <v>141.66</v>
      </c>
      <c r="M41" s="391">
        <f t="shared" si="12"/>
        <v>0</v>
      </c>
      <c r="N41" s="391">
        <f t="shared" si="12"/>
        <v>0</v>
      </c>
      <c r="O41" s="391">
        <f t="shared" si="12"/>
        <v>123.84</v>
      </c>
    </row>
    <row r="42" spans="1:15">
      <c r="A42" s="2079">
        <v>13</v>
      </c>
      <c r="B42" s="356" t="s">
        <v>96</v>
      </c>
      <c r="C42" s="191">
        <v>223681</v>
      </c>
      <c r="D42" s="184">
        <f>ROUND((C42*(1+'Løntabel gældende fra'!$D$7%)),0)</f>
        <v>259290</v>
      </c>
      <c r="E42" s="192">
        <v>228304</v>
      </c>
      <c r="F42" s="193">
        <f>ROUND((E42*(1+'Løntabel gældende fra'!$D$7%)),0)</f>
        <v>264649</v>
      </c>
      <c r="G42" s="191">
        <v>231504</v>
      </c>
      <c r="H42" s="184">
        <f>ROUND((G42*(1+'Løntabel gældende fra'!$D$7%)),0)</f>
        <v>268359</v>
      </c>
      <c r="I42" s="192">
        <v>236129</v>
      </c>
      <c r="J42" s="193">
        <f>ROUND((I42*(1+'Løntabel gældende fra'!$D$7%)),0)</f>
        <v>273720</v>
      </c>
      <c r="K42" s="191">
        <v>239328</v>
      </c>
      <c r="L42" s="184">
        <f>ROUND((K42*(1+'Løntabel gældende fra'!$D$7%)),0)</f>
        <v>277428</v>
      </c>
      <c r="M42" s="396"/>
      <c r="N42" s="374">
        <v>209126.09</v>
      </c>
      <c r="O42" s="198">
        <f>ROUND(N42*(1+'Løntabel gældende fra'!$D$7%),2)</f>
        <v>242418.34</v>
      </c>
    </row>
    <row r="43" spans="1:15">
      <c r="A43" s="2080"/>
      <c r="B43" s="378" t="s">
        <v>231</v>
      </c>
      <c r="C43" s="383"/>
      <c r="D43" s="390">
        <f>ROUND(D42/12,2)</f>
        <v>21607.5</v>
      </c>
      <c r="E43" s="387">
        <f>E42/12</f>
        <v>19025.333333333332</v>
      </c>
      <c r="F43" s="372">
        <f>ROUND(F42/12,2)</f>
        <v>22054.080000000002</v>
      </c>
      <c r="G43" s="383">
        <f>G42/12</f>
        <v>19292</v>
      </c>
      <c r="H43" s="390">
        <f>ROUND(H42/12,2)</f>
        <v>22363.25</v>
      </c>
      <c r="I43" s="387">
        <f>I42/12</f>
        <v>19677.416666666668</v>
      </c>
      <c r="J43" s="372">
        <f>ROUND(J42/12,2)</f>
        <v>22810</v>
      </c>
      <c r="K43" s="383">
        <f>K42/12</f>
        <v>19944</v>
      </c>
      <c r="L43" s="390">
        <f>ROUND(L42/12,2)</f>
        <v>23119</v>
      </c>
      <c r="M43" s="395"/>
      <c r="N43" s="373"/>
      <c r="O43" s="375">
        <f>ROUND(O42/12,2)</f>
        <v>20201.53</v>
      </c>
    </row>
    <row r="44" spans="1:15" ht="16" thickBot="1">
      <c r="A44" s="2081"/>
      <c r="B44" s="358" t="s">
        <v>226</v>
      </c>
      <c r="C44" s="188">
        <f>C42/12</f>
        <v>18640.083333333332</v>
      </c>
      <c r="D44" s="189">
        <f>ROUND(D43/160.33,2)</f>
        <v>134.77000000000001</v>
      </c>
      <c r="E44" s="388"/>
      <c r="F44" s="189">
        <f t="shared" ref="F44:O44" si="13">ROUND(F43/160.33,2)</f>
        <v>137.55000000000001</v>
      </c>
      <c r="G44" s="189">
        <f t="shared" si="13"/>
        <v>120.33</v>
      </c>
      <c r="H44" s="189">
        <f t="shared" si="13"/>
        <v>139.47999999999999</v>
      </c>
      <c r="I44" s="189">
        <f t="shared" si="13"/>
        <v>122.73</v>
      </c>
      <c r="J44" s="189">
        <f t="shared" si="13"/>
        <v>142.27000000000001</v>
      </c>
      <c r="K44" s="189">
        <f t="shared" si="13"/>
        <v>124.39</v>
      </c>
      <c r="L44" s="189">
        <f t="shared" si="13"/>
        <v>144.19999999999999</v>
      </c>
      <c r="M44" s="189">
        <f t="shared" si="13"/>
        <v>0</v>
      </c>
      <c r="N44" s="189">
        <f t="shared" si="13"/>
        <v>0</v>
      </c>
      <c r="O44" s="189">
        <f t="shared" si="13"/>
        <v>126</v>
      </c>
    </row>
    <row r="45" spans="1:15">
      <c r="A45" s="2079">
        <v>14</v>
      </c>
      <c r="B45" s="356" t="s">
        <v>96</v>
      </c>
      <c r="C45" s="191">
        <v>227611</v>
      </c>
      <c r="D45" s="184">
        <f>ROUND((C45*(1+'Løntabel gældende fra'!$D$7%)),0)</f>
        <v>263846</v>
      </c>
      <c r="E45" s="192">
        <v>232351</v>
      </c>
      <c r="F45" s="193">
        <f>ROUND((E45*(1+'Løntabel gældende fra'!$D$7%)),0)</f>
        <v>269341</v>
      </c>
      <c r="G45" s="191">
        <v>235632</v>
      </c>
      <c r="H45" s="184">
        <f>ROUND((G45*(1+'Løntabel gældende fra'!$D$7%)),0)</f>
        <v>273144</v>
      </c>
      <c r="I45" s="192">
        <v>240371</v>
      </c>
      <c r="J45" s="193">
        <f>ROUND((I45*(1+'Løntabel gældende fra'!$D$7%)),0)</f>
        <v>278637</v>
      </c>
      <c r="K45" s="191">
        <v>243652</v>
      </c>
      <c r="L45" s="184">
        <f>ROUND((K45*(1+'Løntabel gældende fra'!$D$7%)),0)</f>
        <v>282441</v>
      </c>
      <c r="M45" s="396"/>
      <c r="N45" s="374">
        <v>212809.24</v>
      </c>
      <c r="O45" s="198">
        <f>ROUND(N45*(1+'Løntabel gældende fra'!$D$7%),2)</f>
        <v>246687.83</v>
      </c>
    </row>
    <row r="46" spans="1:15">
      <c r="A46" s="2080"/>
      <c r="B46" s="378" t="s">
        <v>231</v>
      </c>
      <c r="C46" s="383"/>
      <c r="D46" s="390">
        <f>ROUND(D45/12,2)</f>
        <v>21987.17</v>
      </c>
      <c r="E46" s="387">
        <f>E45/12</f>
        <v>19362.583333333332</v>
      </c>
      <c r="F46" s="372">
        <f>ROUND(F45/12,2)</f>
        <v>22445.08</v>
      </c>
      <c r="G46" s="383">
        <f>G45/12</f>
        <v>19636</v>
      </c>
      <c r="H46" s="390">
        <f>ROUND(H45/12,2)</f>
        <v>22762</v>
      </c>
      <c r="I46" s="387">
        <f>I45/12</f>
        <v>20030.916666666668</v>
      </c>
      <c r="J46" s="372">
        <f>ROUND(J45/12,2)</f>
        <v>23219.75</v>
      </c>
      <c r="K46" s="383">
        <f>K45/12</f>
        <v>20304.333333333332</v>
      </c>
      <c r="L46" s="390">
        <f>ROUND(L45/12,2)</f>
        <v>23536.75</v>
      </c>
      <c r="M46" s="395"/>
      <c r="N46" s="373"/>
      <c r="O46" s="375">
        <f>ROUND(O45/12,2)</f>
        <v>20557.32</v>
      </c>
    </row>
    <row r="47" spans="1:15" ht="16" thickBot="1">
      <c r="A47" s="2081"/>
      <c r="B47" s="358" t="s">
        <v>226</v>
      </c>
      <c r="C47" s="188">
        <f>C45/12</f>
        <v>18967.583333333332</v>
      </c>
      <c r="D47" s="189">
        <f>ROUND(D46/160.33,2)</f>
        <v>137.13999999999999</v>
      </c>
      <c r="E47" s="388"/>
      <c r="F47" s="189">
        <f t="shared" ref="F47:O47" si="14">ROUND(F46/160.33,2)</f>
        <v>139.99</v>
      </c>
      <c r="G47" s="189">
        <f t="shared" si="14"/>
        <v>122.47</v>
      </c>
      <c r="H47" s="189">
        <f t="shared" si="14"/>
        <v>141.97</v>
      </c>
      <c r="I47" s="189">
        <f t="shared" si="14"/>
        <v>124.94</v>
      </c>
      <c r="J47" s="189">
        <f t="shared" si="14"/>
        <v>144.82</v>
      </c>
      <c r="K47" s="189">
        <f t="shared" si="14"/>
        <v>126.64</v>
      </c>
      <c r="L47" s="189">
        <f t="shared" si="14"/>
        <v>146.80000000000001</v>
      </c>
      <c r="M47" s="189">
        <f t="shared" si="14"/>
        <v>0</v>
      </c>
      <c r="N47" s="189">
        <f t="shared" si="14"/>
        <v>0</v>
      </c>
      <c r="O47" s="189">
        <f t="shared" si="14"/>
        <v>128.22</v>
      </c>
    </row>
    <row r="48" spans="1:15">
      <c r="A48" s="2079">
        <v>15</v>
      </c>
      <c r="B48" s="356" t="s">
        <v>96</v>
      </c>
      <c r="C48" s="191">
        <v>231649</v>
      </c>
      <c r="D48" s="184">
        <f>ROUND((C48*(1+'Løntabel gældende fra'!$D$7%)),0)</f>
        <v>268527</v>
      </c>
      <c r="E48" s="192">
        <v>236507</v>
      </c>
      <c r="F48" s="193">
        <f>ROUND((E48*(1+'Løntabel gældende fra'!$D$7%)),0)</f>
        <v>274158</v>
      </c>
      <c r="G48" s="191">
        <v>239870</v>
      </c>
      <c r="H48" s="184">
        <f>ROUND((G48*(1+'Løntabel gældende fra'!$D$7%)),0)</f>
        <v>278057</v>
      </c>
      <c r="I48" s="192">
        <v>244730</v>
      </c>
      <c r="J48" s="193">
        <f>ROUND((I48*(1+'Løntabel gældende fra'!$D$7%)),0)</f>
        <v>283690</v>
      </c>
      <c r="K48" s="191">
        <v>248094</v>
      </c>
      <c r="L48" s="184">
        <f>ROUND((K48*(1+'Løntabel gældende fra'!$D$7%)),0)</f>
        <v>287590</v>
      </c>
      <c r="M48" s="396"/>
      <c r="N48" s="374">
        <v>216591.65</v>
      </c>
      <c r="O48" s="198">
        <f>ROUND(N48*(1+'Løntabel gældende fra'!$D$7%),2)</f>
        <v>251072.39</v>
      </c>
    </row>
    <row r="49" spans="1:15">
      <c r="A49" s="2080"/>
      <c r="B49" s="378" t="s">
        <v>97</v>
      </c>
      <c r="C49" s="383"/>
      <c r="D49" s="390">
        <f>ROUND(D48/12,2)</f>
        <v>22377.25</v>
      </c>
      <c r="E49" s="387">
        <f>E48/12</f>
        <v>19708.916666666668</v>
      </c>
      <c r="F49" s="372">
        <f>ROUND(F48/12,2)</f>
        <v>22846.5</v>
      </c>
      <c r="G49" s="383">
        <f>G48/12</f>
        <v>19989.166666666668</v>
      </c>
      <c r="H49" s="390">
        <f>ROUND(H48/12,2)</f>
        <v>23171.42</v>
      </c>
      <c r="I49" s="387">
        <f>I48/12</f>
        <v>20394.166666666668</v>
      </c>
      <c r="J49" s="372">
        <f>ROUND(J48/12,2)</f>
        <v>23640.83</v>
      </c>
      <c r="K49" s="383">
        <f>K48/12</f>
        <v>20674.5</v>
      </c>
      <c r="L49" s="390">
        <f>ROUND(L48/12,2)</f>
        <v>23965.83</v>
      </c>
      <c r="M49" s="395"/>
      <c r="N49" s="373"/>
      <c r="O49" s="375">
        <f>ROUND(O48/12,2)</f>
        <v>20922.7</v>
      </c>
    </row>
    <row r="50" spans="1:15" ht="16" thickBot="1">
      <c r="A50" s="2081"/>
      <c r="B50" s="358" t="s">
        <v>226</v>
      </c>
      <c r="C50" s="188">
        <f>C48/12</f>
        <v>19304.083333333332</v>
      </c>
      <c r="D50" s="189">
        <f>ROUND(D49/160.33,2)</f>
        <v>139.57</v>
      </c>
      <c r="E50" s="388"/>
      <c r="F50" s="189">
        <f t="shared" ref="F50:O50" si="15">ROUND(F49/160.33,2)</f>
        <v>142.5</v>
      </c>
      <c r="G50" s="189">
        <f t="shared" si="15"/>
        <v>124.68</v>
      </c>
      <c r="H50" s="189">
        <f t="shared" si="15"/>
        <v>144.52000000000001</v>
      </c>
      <c r="I50" s="189">
        <f t="shared" si="15"/>
        <v>127.2</v>
      </c>
      <c r="J50" s="189">
        <f t="shared" si="15"/>
        <v>147.44999999999999</v>
      </c>
      <c r="K50" s="189">
        <f t="shared" si="15"/>
        <v>128.94999999999999</v>
      </c>
      <c r="L50" s="189">
        <f t="shared" si="15"/>
        <v>149.47999999999999</v>
      </c>
      <c r="M50" s="189">
        <f t="shared" si="15"/>
        <v>0</v>
      </c>
      <c r="N50" s="189">
        <f t="shared" si="15"/>
        <v>0</v>
      </c>
      <c r="O50" s="189">
        <f t="shared" si="15"/>
        <v>130.5</v>
      </c>
    </row>
    <row r="51" spans="1:15">
      <c r="A51" s="2079">
        <v>16</v>
      </c>
      <c r="B51" s="356" t="s">
        <v>96</v>
      </c>
      <c r="C51" s="191">
        <v>234743</v>
      </c>
      <c r="D51" s="184">
        <f>ROUND((C51*(1+'Løntabel gældende fra'!$D$7%)),0)</f>
        <v>272113</v>
      </c>
      <c r="E51" s="192">
        <v>239725</v>
      </c>
      <c r="F51" s="193">
        <f>ROUND((E51*(1+'Løntabel gældende fra'!$D$7%)),0)</f>
        <v>277889</v>
      </c>
      <c r="G51" s="191">
        <v>243175</v>
      </c>
      <c r="H51" s="184">
        <f>ROUND((G51*(1+'Løntabel gældende fra'!$D$7%)),0)</f>
        <v>281888</v>
      </c>
      <c r="I51" s="192">
        <v>248156</v>
      </c>
      <c r="J51" s="193">
        <f>ROUND((I51*(1+'Løntabel gældende fra'!$D$7%)),0)</f>
        <v>287662</v>
      </c>
      <c r="K51" s="191">
        <v>251606</v>
      </c>
      <c r="L51" s="184">
        <f>ROUND((K51*(1+'Løntabel gældende fra'!$D$7%)),0)</f>
        <v>291661</v>
      </c>
      <c r="M51" s="396"/>
      <c r="N51" s="374">
        <v>220480.52</v>
      </c>
      <c r="O51" s="198">
        <f>ROUND(N51*(1+'Løntabel gældende fra'!$D$7%),2)</f>
        <v>255580.36</v>
      </c>
    </row>
    <row r="52" spans="1:15">
      <c r="A52" s="2080"/>
      <c r="B52" s="378" t="s">
        <v>231</v>
      </c>
      <c r="C52" s="383"/>
      <c r="D52" s="390">
        <f>ROUND(D51/12,2)</f>
        <v>22676.080000000002</v>
      </c>
      <c r="E52" s="387">
        <f>E51/12</f>
        <v>19977.083333333332</v>
      </c>
      <c r="F52" s="372">
        <f>ROUND(F51/12,2)</f>
        <v>23157.42</v>
      </c>
      <c r="G52" s="383">
        <f>G51/12</f>
        <v>20264.583333333332</v>
      </c>
      <c r="H52" s="390">
        <f>ROUND(H51/12,2)</f>
        <v>23490.67</v>
      </c>
      <c r="I52" s="387">
        <f>I51/12</f>
        <v>20679.666666666668</v>
      </c>
      <c r="J52" s="372">
        <f>ROUND(J51/12,2)</f>
        <v>23971.83</v>
      </c>
      <c r="K52" s="383">
        <f>K51/12</f>
        <v>20967.166666666668</v>
      </c>
      <c r="L52" s="390">
        <f>ROUND(L51/12,2)</f>
        <v>24305.08</v>
      </c>
      <c r="M52" s="395"/>
      <c r="N52" s="373"/>
      <c r="O52" s="375">
        <f>ROUND(O51/12,2)</f>
        <v>21298.36</v>
      </c>
    </row>
    <row r="53" spans="1:15" ht="16" thickBot="1">
      <c r="A53" s="2081"/>
      <c r="B53" s="358" t="s">
        <v>226</v>
      </c>
      <c r="C53" s="188">
        <f>C51/12</f>
        <v>19561.916666666668</v>
      </c>
      <c r="D53" s="189">
        <f>ROUND(D52/160.33,2)</f>
        <v>141.43</v>
      </c>
      <c r="E53" s="388"/>
      <c r="F53" s="189">
        <f t="shared" ref="F53:O53" si="16">ROUND(F52/160.33,2)</f>
        <v>144.44</v>
      </c>
      <c r="G53" s="189">
        <f t="shared" si="16"/>
        <v>126.39</v>
      </c>
      <c r="H53" s="189">
        <f t="shared" si="16"/>
        <v>146.51</v>
      </c>
      <c r="I53" s="189">
        <f t="shared" si="16"/>
        <v>128.97999999999999</v>
      </c>
      <c r="J53" s="189">
        <f t="shared" si="16"/>
        <v>149.52000000000001</v>
      </c>
      <c r="K53" s="189">
        <f t="shared" si="16"/>
        <v>130.78</v>
      </c>
      <c r="L53" s="189">
        <f t="shared" si="16"/>
        <v>151.59</v>
      </c>
      <c r="M53" s="189">
        <f t="shared" si="16"/>
        <v>0</v>
      </c>
      <c r="N53" s="189">
        <f t="shared" si="16"/>
        <v>0</v>
      </c>
      <c r="O53" s="189">
        <f t="shared" si="16"/>
        <v>132.84</v>
      </c>
    </row>
    <row r="54" spans="1:15">
      <c r="A54" s="2082">
        <v>17</v>
      </c>
      <c r="B54" s="182" t="s">
        <v>96</v>
      </c>
      <c r="C54" s="183">
        <v>239005</v>
      </c>
      <c r="D54" s="187">
        <f>ROUND((C54*(1+'Løntabel gældende fra'!$D$7%)),0)</f>
        <v>277054</v>
      </c>
      <c r="E54" s="185">
        <v>244114</v>
      </c>
      <c r="F54" s="186">
        <f>ROUND((E54*(1+'Løntabel gældende fra'!$D$7%)),0)</f>
        <v>282976</v>
      </c>
      <c r="G54" s="183">
        <v>247651</v>
      </c>
      <c r="H54" s="187">
        <f>ROUND((G54*(1+'Løntabel gældende fra'!$D$7%)),0)</f>
        <v>287076</v>
      </c>
      <c r="I54" s="185">
        <v>252759</v>
      </c>
      <c r="J54" s="186">
        <f>ROUND((I54*(1+'Løntabel gældende fra'!$D$7%)),0)</f>
        <v>292997</v>
      </c>
      <c r="K54" s="183">
        <v>256294</v>
      </c>
      <c r="L54" s="187">
        <f>ROUND((K54*(1+'Løntabel gældende fra'!$D$7%)),0)</f>
        <v>297095</v>
      </c>
      <c r="M54" s="397"/>
      <c r="N54" s="376">
        <v>224474.06</v>
      </c>
      <c r="O54" s="377">
        <f>ROUND(N54*(1+'Løntabel gældende fra'!$D$7%),2)</f>
        <v>260209.66</v>
      </c>
    </row>
    <row r="55" spans="1:15">
      <c r="A55" s="2080"/>
      <c r="B55" s="378" t="s">
        <v>231</v>
      </c>
      <c r="C55" s="383"/>
      <c r="D55" s="390">
        <f>ROUND(D54/12,2)</f>
        <v>23087.83</v>
      </c>
      <c r="E55" s="387">
        <f>E54/12</f>
        <v>20342.833333333332</v>
      </c>
      <c r="F55" s="372">
        <f>ROUND(F54/12,2)</f>
        <v>23581.33</v>
      </c>
      <c r="G55" s="383">
        <f>G54/12</f>
        <v>20637.583333333332</v>
      </c>
      <c r="H55" s="390">
        <f>ROUND(H54/12,2)</f>
        <v>23923</v>
      </c>
      <c r="I55" s="387">
        <f>I54/12</f>
        <v>21063.25</v>
      </c>
      <c r="J55" s="372">
        <f>ROUND(J54/12,2)</f>
        <v>24416.42</v>
      </c>
      <c r="K55" s="383">
        <f>K54/12</f>
        <v>21357.833333333332</v>
      </c>
      <c r="L55" s="390">
        <f>ROUND(L54/12,2)</f>
        <v>24757.919999999998</v>
      </c>
      <c r="M55" s="395"/>
      <c r="N55" s="373"/>
      <c r="O55" s="375">
        <f>ROUND(O54/12,2)</f>
        <v>21684.14</v>
      </c>
    </row>
    <row r="56" spans="1:15" ht="16" thickBot="1">
      <c r="A56" s="2083"/>
      <c r="B56" s="379" t="s">
        <v>226</v>
      </c>
      <c r="C56" s="386">
        <f>C54/12</f>
        <v>19917.083333333332</v>
      </c>
      <c r="D56" s="189">
        <f>ROUND(D55/160.33,2)</f>
        <v>144</v>
      </c>
      <c r="E56" s="389"/>
      <c r="F56" s="189">
        <f t="shared" ref="F56:O56" si="17">ROUND(F55/160.33,2)</f>
        <v>147.08000000000001</v>
      </c>
      <c r="G56" s="189">
        <f t="shared" si="17"/>
        <v>128.72</v>
      </c>
      <c r="H56" s="189">
        <f t="shared" si="17"/>
        <v>149.21</v>
      </c>
      <c r="I56" s="189">
        <f t="shared" si="17"/>
        <v>131.37</v>
      </c>
      <c r="J56" s="189">
        <f t="shared" si="17"/>
        <v>152.29</v>
      </c>
      <c r="K56" s="189">
        <f t="shared" si="17"/>
        <v>133.21</v>
      </c>
      <c r="L56" s="189">
        <f t="shared" si="17"/>
        <v>154.41999999999999</v>
      </c>
      <c r="M56" s="189">
        <f t="shared" si="17"/>
        <v>0</v>
      </c>
      <c r="N56" s="189">
        <f t="shared" si="17"/>
        <v>0</v>
      </c>
      <c r="O56" s="189">
        <f t="shared" si="17"/>
        <v>135.25</v>
      </c>
    </row>
    <row r="57" spans="1:15">
      <c r="A57" s="2079">
        <v>18</v>
      </c>
      <c r="B57" s="356" t="s">
        <v>96</v>
      </c>
      <c r="C57" s="191">
        <v>243387</v>
      </c>
      <c r="D57" s="184">
        <f>ROUND((C57*(1+'Løntabel gældende fra'!$D$7%)),0)</f>
        <v>282133</v>
      </c>
      <c r="E57" s="192">
        <v>248626</v>
      </c>
      <c r="F57" s="193">
        <f>ROUND((E57*(1+'Løntabel gældende fra'!$D$7%)),0)</f>
        <v>288207</v>
      </c>
      <c r="G57" s="191">
        <v>252252</v>
      </c>
      <c r="H57" s="184">
        <f>ROUND((G57*(1+'Løntabel gældende fra'!$D$7%)),0)</f>
        <v>292410</v>
      </c>
      <c r="I57" s="192">
        <v>257490</v>
      </c>
      <c r="J57" s="193">
        <f>ROUND((I57*(1+'Løntabel gældende fra'!$D$7%)),0)</f>
        <v>298482</v>
      </c>
      <c r="K57" s="191">
        <v>261115</v>
      </c>
      <c r="L57" s="184">
        <f>ROUND((K57*(1+'Løntabel gældende fra'!$D$7%)),0)</f>
        <v>302684</v>
      </c>
      <c r="M57" s="396"/>
      <c r="N57" s="374">
        <v>228579.5</v>
      </c>
      <c r="O57" s="198">
        <f>ROUND(N57*(1+'Løntabel gældende fra'!$D$7%),2)</f>
        <v>264968.67</v>
      </c>
    </row>
    <row r="58" spans="1:15">
      <c r="A58" s="2080"/>
      <c r="B58" s="378" t="s">
        <v>97</v>
      </c>
      <c r="C58" s="383"/>
      <c r="D58" s="390">
        <f>ROUND(D57/12,2)</f>
        <v>23511.08</v>
      </c>
      <c r="E58" s="387">
        <f>E57/12</f>
        <v>20718.833333333332</v>
      </c>
      <c r="F58" s="372">
        <f>ROUND(F57/12,2)</f>
        <v>24017.25</v>
      </c>
      <c r="G58" s="383">
        <f>G57/12</f>
        <v>21021</v>
      </c>
      <c r="H58" s="390">
        <f>ROUND(H57/12,2)</f>
        <v>24367.5</v>
      </c>
      <c r="I58" s="387">
        <f>I57/12</f>
        <v>21457.5</v>
      </c>
      <c r="J58" s="372">
        <f>ROUND(J57/12,2)</f>
        <v>24873.5</v>
      </c>
      <c r="K58" s="383">
        <f>K57/12</f>
        <v>21759.583333333332</v>
      </c>
      <c r="L58" s="390">
        <f>ROUND(L57/12,2)</f>
        <v>25223.67</v>
      </c>
      <c r="M58" s="395"/>
      <c r="N58" s="373"/>
      <c r="O58" s="375">
        <f>ROUND(O57/12,2)</f>
        <v>22080.720000000001</v>
      </c>
    </row>
    <row r="59" spans="1:15" ht="16" thickBot="1">
      <c r="A59" s="2081"/>
      <c r="B59" s="358" t="s">
        <v>226</v>
      </c>
      <c r="C59" s="188">
        <f>C57/12</f>
        <v>20282.25</v>
      </c>
      <c r="D59" s="189">
        <f>ROUND(D58/160.33,2)</f>
        <v>146.63999999999999</v>
      </c>
      <c r="E59" s="388"/>
      <c r="F59" s="189">
        <f t="shared" ref="F59:O59" si="18">ROUND(F58/160.33,2)</f>
        <v>149.80000000000001</v>
      </c>
      <c r="G59" s="189">
        <f t="shared" si="18"/>
        <v>131.11000000000001</v>
      </c>
      <c r="H59" s="189">
        <f t="shared" si="18"/>
        <v>151.97999999999999</v>
      </c>
      <c r="I59" s="189">
        <f t="shared" si="18"/>
        <v>133.83000000000001</v>
      </c>
      <c r="J59" s="189">
        <f t="shared" si="18"/>
        <v>155.13999999999999</v>
      </c>
      <c r="K59" s="189">
        <f t="shared" si="18"/>
        <v>135.72</v>
      </c>
      <c r="L59" s="189">
        <f t="shared" si="18"/>
        <v>157.32</v>
      </c>
      <c r="M59" s="189">
        <f t="shared" si="18"/>
        <v>0</v>
      </c>
      <c r="N59" s="189">
        <f t="shared" si="18"/>
        <v>0</v>
      </c>
      <c r="O59" s="189">
        <f t="shared" si="18"/>
        <v>137.72</v>
      </c>
    </row>
    <row r="60" spans="1:15">
      <c r="A60" s="2082">
        <v>19</v>
      </c>
      <c r="B60" s="182" t="s">
        <v>96</v>
      </c>
      <c r="C60" s="183">
        <v>246657</v>
      </c>
      <c r="D60" s="187">
        <f>ROUND((C60*(1+'Løntabel gældende fra'!$D$7%)),0)</f>
        <v>285924</v>
      </c>
      <c r="E60" s="185">
        <v>252029</v>
      </c>
      <c r="F60" s="186">
        <f>ROUND((E60*(1+'Løntabel gældende fra'!$D$7%)),0)</f>
        <v>292151</v>
      </c>
      <c r="G60" s="183">
        <v>255746</v>
      </c>
      <c r="H60" s="187">
        <f>ROUND((G60*(1+'Løntabel gældende fra'!$D$7%)),0)</f>
        <v>296460</v>
      </c>
      <c r="I60" s="185">
        <v>261119</v>
      </c>
      <c r="J60" s="186">
        <f>ROUND((I60*(1+'Løntabel gældende fra'!$D$7%)),0)</f>
        <v>302688</v>
      </c>
      <c r="K60" s="183">
        <v>264839</v>
      </c>
      <c r="L60" s="187">
        <f>ROUND((K60*(1+'Løntabel gældende fra'!$D$7%)),0)</f>
        <v>307001</v>
      </c>
      <c r="M60" s="397"/>
      <c r="N60" s="376">
        <v>232796.81</v>
      </c>
      <c r="O60" s="377">
        <f>ROUND(N60*(1+'Løntabel gældende fra'!$D$7%),2)</f>
        <v>269857.36</v>
      </c>
    </row>
    <row r="61" spans="1:15">
      <c r="A61" s="2080"/>
      <c r="B61" s="378" t="s">
        <v>231</v>
      </c>
      <c r="C61" s="383"/>
      <c r="D61" s="390">
        <f>ROUND(D60/12,2)</f>
        <v>23827</v>
      </c>
      <c r="E61" s="387">
        <f>E60/12</f>
        <v>21002.416666666668</v>
      </c>
      <c r="F61" s="372">
        <f>ROUND(F60/12,2)</f>
        <v>24345.919999999998</v>
      </c>
      <c r="G61" s="383">
        <f>G60/12</f>
        <v>21312.166666666668</v>
      </c>
      <c r="H61" s="390">
        <f>ROUND(H60/12,2)</f>
        <v>24705</v>
      </c>
      <c r="I61" s="387">
        <f>I60/12</f>
        <v>21759.916666666668</v>
      </c>
      <c r="J61" s="372">
        <f>ROUND(J60/12,2)</f>
        <v>25224</v>
      </c>
      <c r="K61" s="383">
        <f>K60/12</f>
        <v>22069.916666666668</v>
      </c>
      <c r="L61" s="390">
        <f>ROUND(L60/12,2)</f>
        <v>25583.42</v>
      </c>
      <c r="M61" s="395"/>
      <c r="N61" s="373"/>
      <c r="O61" s="375">
        <f>ROUND(O60/12,2)</f>
        <v>22488.11</v>
      </c>
    </row>
    <row r="62" spans="1:15" ht="16" thickBot="1">
      <c r="A62" s="2083"/>
      <c r="B62" s="379" t="s">
        <v>226</v>
      </c>
      <c r="C62" s="386">
        <f>C60/12</f>
        <v>20554.75</v>
      </c>
      <c r="D62" s="189">
        <f>ROUND(D61/160.33,2)</f>
        <v>148.61000000000001</v>
      </c>
      <c r="E62" s="389"/>
      <c r="F62" s="189">
        <f t="shared" ref="F62:O62" si="19">ROUND(F61/160.33,2)</f>
        <v>151.85</v>
      </c>
      <c r="G62" s="189">
        <f t="shared" si="19"/>
        <v>132.93</v>
      </c>
      <c r="H62" s="189">
        <f t="shared" si="19"/>
        <v>154.09</v>
      </c>
      <c r="I62" s="189">
        <f t="shared" si="19"/>
        <v>135.72</v>
      </c>
      <c r="J62" s="189">
        <f t="shared" si="19"/>
        <v>157.33000000000001</v>
      </c>
      <c r="K62" s="189">
        <f t="shared" si="19"/>
        <v>137.65</v>
      </c>
      <c r="L62" s="189">
        <f t="shared" si="19"/>
        <v>159.57</v>
      </c>
      <c r="M62" s="189">
        <f t="shared" si="19"/>
        <v>0</v>
      </c>
      <c r="N62" s="189">
        <f t="shared" si="19"/>
        <v>0</v>
      </c>
      <c r="O62" s="189">
        <f t="shared" si="19"/>
        <v>140.26</v>
      </c>
    </row>
    <row r="63" spans="1:15">
      <c r="A63" s="2079">
        <v>20</v>
      </c>
      <c r="B63" s="356" t="s">
        <v>96</v>
      </c>
      <c r="C63" s="191">
        <v>250053</v>
      </c>
      <c r="D63" s="184">
        <f>ROUND((C63*(1+'Løntabel gældende fra'!$D$7%)),0)</f>
        <v>289861</v>
      </c>
      <c r="E63" s="192">
        <v>255560</v>
      </c>
      <c r="F63" s="193">
        <f>ROUND((E63*(1+'Løntabel gældende fra'!$D$7%)),0)</f>
        <v>296244</v>
      </c>
      <c r="G63" s="191">
        <v>259374</v>
      </c>
      <c r="H63" s="184">
        <f>ROUND((G63*(1+'Løntabel gældende fra'!$D$7%)),0)</f>
        <v>300666</v>
      </c>
      <c r="I63" s="192">
        <v>264882</v>
      </c>
      <c r="J63" s="193">
        <f>ROUND((I63*(1+'Løntabel gældende fra'!$D$7%)),0)</f>
        <v>307050</v>
      </c>
      <c r="K63" s="191">
        <v>268694</v>
      </c>
      <c r="L63" s="184">
        <f>ROUND((K63*(1+'Løntabel gældende fra'!$D$7%)),0)</f>
        <v>311469</v>
      </c>
      <c r="M63" s="396"/>
      <c r="N63" s="374">
        <v>237129.61</v>
      </c>
      <c r="O63" s="198">
        <f>ROUND(N63*(1+'Løntabel gældende fra'!$D$7%),2)</f>
        <v>274879.93</v>
      </c>
    </row>
    <row r="64" spans="1:15">
      <c r="A64" s="2080"/>
      <c r="B64" s="378" t="s">
        <v>97</v>
      </c>
      <c r="C64" s="383"/>
      <c r="D64" s="390">
        <f>ROUND(D63/12,2)</f>
        <v>24155.08</v>
      </c>
      <c r="E64" s="387">
        <f>E63/12</f>
        <v>21296.666666666668</v>
      </c>
      <c r="F64" s="372">
        <f>ROUND(F63/12,2)</f>
        <v>24687</v>
      </c>
      <c r="G64" s="383">
        <f>G63/12</f>
        <v>21614.5</v>
      </c>
      <c r="H64" s="390">
        <f>ROUND(H63/12,2)</f>
        <v>25055.5</v>
      </c>
      <c r="I64" s="387">
        <f>I63/12</f>
        <v>22073.5</v>
      </c>
      <c r="J64" s="372">
        <f>ROUND(J63/12,2)</f>
        <v>25587.5</v>
      </c>
      <c r="K64" s="383">
        <f>K63/12</f>
        <v>22391.166666666668</v>
      </c>
      <c r="L64" s="390">
        <f>ROUND(L63/12,2)</f>
        <v>25955.75</v>
      </c>
      <c r="M64" s="395"/>
      <c r="N64" s="373"/>
      <c r="O64" s="375">
        <f>ROUND(O63/12,2)</f>
        <v>22906.66</v>
      </c>
    </row>
    <row r="65" spans="1:15" ht="16" thickBot="1">
      <c r="A65" s="2081"/>
      <c r="B65" s="358" t="s">
        <v>226</v>
      </c>
      <c r="C65" s="188">
        <f>C63/12</f>
        <v>20837.75</v>
      </c>
      <c r="D65" s="189">
        <f>ROUND(D64/160.33,2)</f>
        <v>150.66</v>
      </c>
      <c r="E65" s="388"/>
      <c r="F65" s="189">
        <f t="shared" ref="F65:O65" si="20">ROUND(F64/160.33,2)</f>
        <v>153.97999999999999</v>
      </c>
      <c r="G65" s="189">
        <f t="shared" si="20"/>
        <v>134.81</v>
      </c>
      <c r="H65" s="189">
        <f t="shared" si="20"/>
        <v>156.27000000000001</v>
      </c>
      <c r="I65" s="189">
        <f t="shared" si="20"/>
        <v>137.68</v>
      </c>
      <c r="J65" s="189">
        <f t="shared" si="20"/>
        <v>159.59</v>
      </c>
      <c r="K65" s="189">
        <f t="shared" si="20"/>
        <v>139.66</v>
      </c>
      <c r="L65" s="189">
        <f t="shared" si="20"/>
        <v>161.88999999999999</v>
      </c>
      <c r="M65" s="189">
        <f t="shared" si="20"/>
        <v>0</v>
      </c>
      <c r="N65" s="189">
        <f t="shared" si="20"/>
        <v>0</v>
      </c>
      <c r="O65" s="189">
        <f t="shared" si="20"/>
        <v>142.87</v>
      </c>
    </row>
    <row r="66" spans="1:15">
      <c r="A66" s="2082">
        <v>21</v>
      </c>
      <c r="B66" s="182" t="s">
        <v>96</v>
      </c>
      <c r="C66" s="183">
        <v>254192</v>
      </c>
      <c r="D66" s="187">
        <f>ROUND((C66*(1+'Løntabel gældende fra'!$D$7%)),0)</f>
        <v>294659</v>
      </c>
      <c r="E66" s="185">
        <v>259841</v>
      </c>
      <c r="F66" s="186">
        <f>ROUND((E66*(1+'Løntabel gældende fra'!$D$7%)),0)</f>
        <v>301207</v>
      </c>
      <c r="G66" s="183">
        <v>263752</v>
      </c>
      <c r="H66" s="187">
        <f>ROUND((G66*(1+'Løntabel gældende fra'!$D$7%)),0)</f>
        <v>305741</v>
      </c>
      <c r="I66" s="185">
        <v>269401</v>
      </c>
      <c r="J66" s="186">
        <f>ROUND((I66*(1+'Løntabel gældende fra'!$D$7%)),0)</f>
        <v>312289</v>
      </c>
      <c r="K66" s="183">
        <v>273312</v>
      </c>
      <c r="L66" s="187">
        <f>ROUND((K66*(1+'Løntabel gældende fra'!$D$7%)),0)</f>
        <v>316822</v>
      </c>
      <c r="M66" s="397"/>
      <c r="N66" s="376">
        <v>241583.32</v>
      </c>
      <c r="O66" s="377">
        <f>ROUND(N66*(1+'Løntabel gældende fra'!$D$7%),2)</f>
        <v>280042.65999999997</v>
      </c>
    </row>
    <row r="67" spans="1:15">
      <c r="A67" s="2080"/>
      <c r="B67" s="378" t="s">
        <v>231</v>
      </c>
      <c r="C67" s="383"/>
      <c r="D67" s="390">
        <f>ROUND(D66/12,2)</f>
        <v>24554.92</v>
      </c>
      <c r="E67" s="387">
        <f>E66/12</f>
        <v>21653.416666666668</v>
      </c>
      <c r="F67" s="372">
        <f>ROUND(F66/12,2)</f>
        <v>25100.58</v>
      </c>
      <c r="G67" s="383">
        <f>G66/12</f>
        <v>21979.333333333332</v>
      </c>
      <c r="H67" s="390">
        <f>ROUND(H66/12,2)</f>
        <v>25478.42</v>
      </c>
      <c r="I67" s="387">
        <f>I66/12</f>
        <v>22450.083333333332</v>
      </c>
      <c r="J67" s="372">
        <f>ROUND(J66/12,2)</f>
        <v>26024.080000000002</v>
      </c>
      <c r="K67" s="383">
        <f>K66/12</f>
        <v>22776</v>
      </c>
      <c r="L67" s="390">
        <f>ROUND(L66/12,2)</f>
        <v>26401.83</v>
      </c>
      <c r="M67" s="395"/>
      <c r="N67" s="373"/>
      <c r="O67" s="375">
        <f>ROUND(O66/12,2)</f>
        <v>23336.89</v>
      </c>
    </row>
    <row r="68" spans="1:15" ht="16" thickBot="1">
      <c r="A68" s="2083"/>
      <c r="B68" s="379" t="s">
        <v>226</v>
      </c>
      <c r="C68" s="386">
        <f>C66/12</f>
        <v>21182.666666666668</v>
      </c>
      <c r="D68" s="189">
        <f>ROUND(D67/160.33,2)</f>
        <v>153.15</v>
      </c>
      <c r="E68" s="389"/>
      <c r="F68" s="189">
        <f t="shared" ref="F68:O68" si="21">ROUND(F67/160.33,2)</f>
        <v>156.56</v>
      </c>
      <c r="G68" s="189">
        <f t="shared" si="21"/>
        <v>137.09</v>
      </c>
      <c r="H68" s="189">
        <f t="shared" si="21"/>
        <v>158.91</v>
      </c>
      <c r="I68" s="189">
        <f t="shared" si="21"/>
        <v>140.02000000000001</v>
      </c>
      <c r="J68" s="189">
        <f t="shared" si="21"/>
        <v>162.32</v>
      </c>
      <c r="K68" s="189">
        <f t="shared" si="21"/>
        <v>142.06</v>
      </c>
      <c r="L68" s="189">
        <f t="shared" si="21"/>
        <v>164.67</v>
      </c>
      <c r="M68" s="189">
        <f t="shared" si="21"/>
        <v>0</v>
      </c>
      <c r="N68" s="189">
        <f t="shared" si="21"/>
        <v>0</v>
      </c>
      <c r="O68" s="189">
        <f t="shared" si="21"/>
        <v>145.56</v>
      </c>
    </row>
    <row r="69" spans="1:15">
      <c r="A69" s="2079">
        <v>22</v>
      </c>
      <c r="B69" s="195" t="s">
        <v>96</v>
      </c>
      <c r="C69" s="191">
        <v>258027</v>
      </c>
      <c r="D69" s="184">
        <f>ROUND((C69*(1+'Løntabel gældende fra'!$D$7%)),0)</f>
        <v>299104</v>
      </c>
      <c r="E69" s="192">
        <v>263676</v>
      </c>
      <c r="F69" s="193">
        <f>ROUND((E69*(1+'Løntabel gældende fra'!$D$7%)),0)</f>
        <v>305652</v>
      </c>
      <c r="G69" s="191">
        <v>267587</v>
      </c>
      <c r="H69" s="184">
        <f>ROUND((G69*(1+'Løntabel gældende fra'!$D$7%)),0)</f>
        <v>310186</v>
      </c>
      <c r="I69" s="192">
        <v>273236</v>
      </c>
      <c r="J69" s="193">
        <f>ROUND((I69*(1+'Løntabel gældende fra'!$D$7%)),0)</f>
        <v>316734</v>
      </c>
      <c r="K69" s="191">
        <v>277147</v>
      </c>
      <c r="L69" s="184">
        <f>ROUND((K69*(1+'Løntabel gældende fra'!$D$7%)),0)</f>
        <v>321268</v>
      </c>
      <c r="M69" s="396"/>
      <c r="N69" s="374">
        <v>246033.33</v>
      </c>
      <c r="O69" s="198">
        <f>ROUND(N69*(1+'Løntabel gældende fra'!$D$7%),2)</f>
        <v>285201.09999999998</v>
      </c>
    </row>
    <row r="70" spans="1:15">
      <c r="A70" s="2080"/>
      <c r="B70" s="380" t="s">
        <v>231</v>
      </c>
      <c r="C70" s="383"/>
      <c r="D70" s="390">
        <f>ROUND(D69/12,2)</f>
        <v>24925.33</v>
      </c>
      <c r="E70" s="387">
        <f>E69/12</f>
        <v>21973</v>
      </c>
      <c r="F70" s="372">
        <f>ROUND(F69/12,2)</f>
        <v>25471</v>
      </c>
      <c r="G70" s="383">
        <f>G69/12</f>
        <v>22298.916666666668</v>
      </c>
      <c r="H70" s="390">
        <f>ROUND(H69/12,2)</f>
        <v>25848.83</v>
      </c>
      <c r="I70" s="387">
        <f>I69/12</f>
        <v>22769.666666666668</v>
      </c>
      <c r="J70" s="372">
        <f>ROUND(J69/12,2)</f>
        <v>26394.5</v>
      </c>
      <c r="K70" s="383">
        <f>K69/12</f>
        <v>23095.583333333332</v>
      </c>
      <c r="L70" s="390">
        <f>ROUND(L69/12,2)</f>
        <v>26772.33</v>
      </c>
      <c r="M70" s="395"/>
      <c r="N70" s="373"/>
      <c r="O70" s="375">
        <f>ROUND(O69/12,2)</f>
        <v>23766.76</v>
      </c>
    </row>
    <row r="71" spans="1:15" ht="16" thickBot="1">
      <c r="A71" s="2081"/>
      <c r="B71" s="381" t="s">
        <v>226</v>
      </c>
      <c r="C71" s="188">
        <v>262137</v>
      </c>
      <c r="D71" s="189">
        <f>ROUND(D70/160.33,2)</f>
        <v>155.46</v>
      </c>
      <c r="E71" s="388"/>
      <c r="F71" s="189">
        <f t="shared" ref="F71:O71" si="22">ROUND(F70/160.33,2)</f>
        <v>158.87</v>
      </c>
      <c r="G71" s="189">
        <f t="shared" si="22"/>
        <v>139.08000000000001</v>
      </c>
      <c r="H71" s="189">
        <f t="shared" si="22"/>
        <v>161.22</v>
      </c>
      <c r="I71" s="189">
        <f t="shared" si="22"/>
        <v>142.02000000000001</v>
      </c>
      <c r="J71" s="189">
        <f t="shared" si="22"/>
        <v>164.63</v>
      </c>
      <c r="K71" s="189">
        <f t="shared" si="22"/>
        <v>144.05000000000001</v>
      </c>
      <c r="L71" s="189">
        <f t="shared" si="22"/>
        <v>166.98</v>
      </c>
      <c r="M71" s="189">
        <f t="shared" si="22"/>
        <v>0</v>
      </c>
      <c r="N71" s="189">
        <f t="shared" si="22"/>
        <v>0</v>
      </c>
      <c r="O71" s="189">
        <f t="shared" si="22"/>
        <v>148.24</v>
      </c>
    </row>
    <row r="72" spans="1:15">
      <c r="A72" s="2082">
        <v>23</v>
      </c>
      <c r="B72" s="194" t="s">
        <v>96</v>
      </c>
      <c r="C72" s="183">
        <v>262137</v>
      </c>
      <c r="D72" s="187">
        <f>ROUND((C72*(1+'Løntabel gældende fra'!$D$7%)),0)</f>
        <v>303868</v>
      </c>
      <c r="E72" s="185">
        <v>267629</v>
      </c>
      <c r="F72" s="186">
        <f>ROUND((E72*(1+'Løntabel gældende fra'!$D$7%)),0)</f>
        <v>310235</v>
      </c>
      <c r="G72" s="183">
        <v>271434</v>
      </c>
      <c r="H72" s="187">
        <f>ROUND((G72*(1+'Løntabel gældende fra'!$D$7%)),0)</f>
        <v>314645</v>
      </c>
      <c r="I72" s="185">
        <v>276928</v>
      </c>
      <c r="J72" s="186">
        <f>ROUND((I72*(1+'Løntabel gældende fra'!$D$7%)),0)</f>
        <v>321014</v>
      </c>
      <c r="K72" s="183">
        <v>280730</v>
      </c>
      <c r="L72" s="187">
        <f>ROUND((K72*(1+'Løntabel gældende fra'!$D$7%)),0)</f>
        <v>325421</v>
      </c>
      <c r="M72" s="397"/>
      <c r="N72" s="376">
        <v>250472.55</v>
      </c>
      <c r="O72" s="377">
        <f>ROUND(N72*(1+'Løntabel gældende fra'!$D$7%),2)</f>
        <v>290347.03000000003</v>
      </c>
    </row>
    <row r="73" spans="1:15">
      <c r="A73" s="2080"/>
      <c r="B73" s="380" t="s">
        <v>231</v>
      </c>
      <c r="C73" s="383"/>
      <c r="D73" s="390">
        <f>ROUND(D72/12,2)</f>
        <v>25322.33</v>
      </c>
      <c r="E73" s="387">
        <f>E72/12</f>
        <v>22302.416666666668</v>
      </c>
      <c r="F73" s="372">
        <f>ROUND(F72/12,2)</f>
        <v>25852.92</v>
      </c>
      <c r="G73" s="383">
        <f>G72/12</f>
        <v>22619.5</v>
      </c>
      <c r="H73" s="390">
        <f>ROUND(H72/12,2)</f>
        <v>26220.42</v>
      </c>
      <c r="I73" s="387">
        <f>I72/12</f>
        <v>23077.333333333332</v>
      </c>
      <c r="J73" s="372">
        <f>ROUND(J72/12,2)</f>
        <v>26751.17</v>
      </c>
      <c r="K73" s="383">
        <f>K72/12</f>
        <v>23394.166666666668</v>
      </c>
      <c r="L73" s="390">
        <f>ROUND(L72/12,2)</f>
        <v>27118.42</v>
      </c>
      <c r="M73" s="395"/>
      <c r="N73" s="373"/>
      <c r="O73" s="375">
        <f>ROUND(O72/12,2)</f>
        <v>24195.59</v>
      </c>
    </row>
    <row r="74" spans="1:15" ht="16" thickBot="1">
      <c r="A74" s="2083"/>
      <c r="B74" s="382" t="s">
        <v>226</v>
      </c>
      <c r="C74" s="386">
        <f>C72/12</f>
        <v>21844.75</v>
      </c>
      <c r="D74" s="189">
        <f>ROUND(D73/160.33,2)</f>
        <v>157.94</v>
      </c>
      <c r="E74" s="389"/>
      <c r="F74" s="189">
        <f t="shared" ref="F74:O74" si="23">ROUND(F73/160.33,2)</f>
        <v>161.25</v>
      </c>
      <c r="G74" s="189">
        <f t="shared" si="23"/>
        <v>141.08000000000001</v>
      </c>
      <c r="H74" s="189">
        <f t="shared" si="23"/>
        <v>163.54</v>
      </c>
      <c r="I74" s="189">
        <f t="shared" si="23"/>
        <v>143.94</v>
      </c>
      <c r="J74" s="189">
        <f t="shared" si="23"/>
        <v>166.85</v>
      </c>
      <c r="K74" s="189">
        <f t="shared" si="23"/>
        <v>145.91</v>
      </c>
      <c r="L74" s="189">
        <f t="shared" si="23"/>
        <v>169.14</v>
      </c>
      <c r="M74" s="189">
        <f t="shared" si="23"/>
        <v>0</v>
      </c>
      <c r="N74" s="189">
        <f t="shared" si="23"/>
        <v>0</v>
      </c>
      <c r="O74" s="189">
        <f t="shared" si="23"/>
        <v>150.91</v>
      </c>
    </row>
    <row r="75" spans="1:15">
      <c r="A75" s="2079">
        <v>24</v>
      </c>
      <c r="B75" s="195" t="s">
        <v>96</v>
      </c>
      <c r="C75" s="191">
        <v>266372</v>
      </c>
      <c r="D75" s="184">
        <f>ROUND((C75*(1+'Løntabel gældende fra'!$D$7%)),0)</f>
        <v>308778</v>
      </c>
      <c r="E75" s="192">
        <v>271710</v>
      </c>
      <c r="F75" s="193">
        <f>ROUND((E75*(1+'Løntabel gældende fra'!$D$7%)),0)</f>
        <v>314965</v>
      </c>
      <c r="G75" s="191">
        <v>275406</v>
      </c>
      <c r="H75" s="184">
        <f>ROUND((G75*(1+'Løntabel gældende fra'!$D$7%)),0)</f>
        <v>319250</v>
      </c>
      <c r="I75" s="192">
        <v>280745</v>
      </c>
      <c r="J75" s="193">
        <f>ROUND((I75*(1+'Løntabel gældende fra'!$D$7%)),0)</f>
        <v>325439</v>
      </c>
      <c r="K75" s="191">
        <v>284441</v>
      </c>
      <c r="L75" s="184">
        <f>ROUND((K75*(1+'Løntabel gældende fra'!$D$7%)),0)</f>
        <v>329723</v>
      </c>
      <c r="M75" s="396"/>
      <c r="N75" s="374">
        <v>255037.97</v>
      </c>
      <c r="O75" s="198">
        <f>ROUND(N75*(1+'Løntabel gældende fra'!$D$7%),2)</f>
        <v>295639.25</v>
      </c>
    </row>
    <row r="76" spans="1:15">
      <c r="A76" s="2080"/>
      <c r="B76" s="380" t="s">
        <v>231</v>
      </c>
      <c r="C76" s="383"/>
      <c r="D76" s="390">
        <f>ROUND(D75/12,2)</f>
        <v>25731.5</v>
      </c>
      <c r="E76" s="387">
        <f>E75/12</f>
        <v>22642.5</v>
      </c>
      <c r="F76" s="372">
        <f>ROUND(F75/12,2)</f>
        <v>26247.08</v>
      </c>
      <c r="G76" s="383">
        <f>G75/12</f>
        <v>22950.5</v>
      </c>
      <c r="H76" s="390">
        <f>ROUND(H75/12,2)</f>
        <v>26604.17</v>
      </c>
      <c r="I76" s="387">
        <f>I75/12</f>
        <v>23395.416666666668</v>
      </c>
      <c r="J76" s="372">
        <f>ROUND(J75/12,2)</f>
        <v>27119.919999999998</v>
      </c>
      <c r="K76" s="383">
        <f>K75/12</f>
        <v>23703.416666666668</v>
      </c>
      <c r="L76" s="390">
        <f>ROUND(L75/12,2)</f>
        <v>27476.92</v>
      </c>
      <c r="M76" s="395"/>
      <c r="N76" s="373"/>
      <c r="O76" s="375">
        <f>ROUND(O75/12,2)</f>
        <v>24636.6</v>
      </c>
    </row>
    <row r="77" spans="1:15" ht="16" thickBot="1">
      <c r="A77" s="2081"/>
      <c r="B77" s="381" t="s">
        <v>226</v>
      </c>
      <c r="C77" s="188">
        <f>C75/12</f>
        <v>22197.666666666668</v>
      </c>
      <c r="D77" s="189">
        <f>ROUND(D76/160.33,2)</f>
        <v>160.49</v>
      </c>
      <c r="E77" s="388"/>
      <c r="F77" s="189">
        <f t="shared" ref="F77:O77" si="24">ROUND(F76/160.33,2)</f>
        <v>163.71</v>
      </c>
      <c r="G77" s="189">
        <f t="shared" si="24"/>
        <v>143.15</v>
      </c>
      <c r="H77" s="189">
        <f t="shared" si="24"/>
        <v>165.93</v>
      </c>
      <c r="I77" s="189">
        <f t="shared" si="24"/>
        <v>145.91999999999999</v>
      </c>
      <c r="J77" s="189">
        <f t="shared" si="24"/>
        <v>169.15</v>
      </c>
      <c r="K77" s="189">
        <f t="shared" si="24"/>
        <v>147.84</v>
      </c>
      <c r="L77" s="189">
        <f t="shared" si="24"/>
        <v>171.38</v>
      </c>
      <c r="M77" s="189">
        <f t="shared" si="24"/>
        <v>0</v>
      </c>
      <c r="N77" s="189">
        <f t="shared" si="24"/>
        <v>0</v>
      </c>
      <c r="O77" s="189">
        <f t="shared" si="24"/>
        <v>153.66</v>
      </c>
    </row>
    <row r="78" spans="1:15">
      <c r="A78" s="2082">
        <v>25</v>
      </c>
      <c r="B78" s="194" t="s">
        <v>96</v>
      </c>
      <c r="C78" s="183">
        <v>270701</v>
      </c>
      <c r="D78" s="187">
        <f>ROUND((C78*(1+'Løntabel gældende fra'!$D$7%)),0)</f>
        <v>313796</v>
      </c>
      <c r="E78" s="185">
        <v>275873</v>
      </c>
      <c r="F78" s="186">
        <f>ROUND((E78*(1+'Løntabel gældende fra'!$D$7%)),0)</f>
        <v>319791</v>
      </c>
      <c r="G78" s="183">
        <v>279454</v>
      </c>
      <c r="H78" s="187">
        <f>ROUND((G78*(1+'Løntabel gældende fra'!$D$7%)),0)</f>
        <v>323942</v>
      </c>
      <c r="I78" s="185">
        <v>284626</v>
      </c>
      <c r="J78" s="186">
        <f>ROUND((I78*(1+'Løntabel gældende fra'!$D$7%)),0)</f>
        <v>329938</v>
      </c>
      <c r="K78" s="183">
        <v>288206</v>
      </c>
      <c r="L78" s="187">
        <f>ROUND((K78*(1+'Løntabel gældende fra'!$D$7%)),0)</f>
        <v>334088</v>
      </c>
      <c r="M78" s="397"/>
      <c r="N78" s="376">
        <v>259721.7</v>
      </c>
      <c r="O78" s="377">
        <f>ROUND(N78*(1+'Løntabel gældende fra'!$D$7%),2)</f>
        <v>301068.62</v>
      </c>
    </row>
    <row r="79" spans="1:15">
      <c r="A79" s="2080"/>
      <c r="B79" s="380" t="s">
        <v>231</v>
      </c>
      <c r="C79" s="383"/>
      <c r="D79" s="390">
        <f>ROUND(D78/12,2)</f>
        <v>26149.67</v>
      </c>
      <c r="E79" s="387">
        <f>E78/12</f>
        <v>22989.416666666668</v>
      </c>
      <c r="F79" s="372">
        <f>ROUND(F78/12,2)</f>
        <v>26649.25</v>
      </c>
      <c r="G79" s="383">
        <f>G78/12</f>
        <v>23287.833333333332</v>
      </c>
      <c r="H79" s="390">
        <f>ROUND(H78/12,2)</f>
        <v>26995.17</v>
      </c>
      <c r="I79" s="387">
        <f>I78/12</f>
        <v>23718.833333333332</v>
      </c>
      <c r="J79" s="372">
        <f>ROUND(J78/12,2)</f>
        <v>27494.83</v>
      </c>
      <c r="K79" s="383">
        <f>K78/12</f>
        <v>24017.166666666668</v>
      </c>
      <c r="L79" s="390">
        <f>ROUND(L78/12,2)</f>
        <v>27840.67</v>
      </c>
      <c r="M79" s="395"/>
      <c r="N79" s="373"/>
      <c r="O79" s="375">
        <f>ROUND(O78/12,2)</f>
        <v>25089.05</v>
      </c>
    </row>
    <row r="80" spans="1:15" ht="16" thickBot="1">
      <c r="A80" s="2083"/>
      <c r="B80" s="382" t="s">
        <v>226</v>
      </c>
      <c r="C80" s="386">
        <f>C78/12</f>
        <v>22558.416666666668</v>
      </c>
      <c r="D80" s="189">
        <f>ROUND(D79/160.33,2)</f>
        <v>163.1</v>
      </c>
      <c r="E80" s="389"/>
      <c r="F80" s="189">
        <f t="shared" ref="F80:O80" si="25">ROUND(F79/160.33,2)</f>
        <v>166.21</v>
      </c>
      <c r="G80" s="189">
        <f t="shared" si="25"/>
        <v>145.25</v>
      </c>
      <c r="H80" s="189">
        <f t="shared" si="25"/>
        <v>168.37</v>
      </c>
      <c r="I80" s="189">
        <f t="shared" si="25"/>
        <v>147.94</v>
      </c>
      <c r="J80" s="189">
        <f t="shared" si="25"/>
        <v>171.49</v>
      </c>
      <c r="K80" s="189">
        <f t="shared" si="25"/>
        <v>149.80000000000001</v>
      </c>
      <c r="L80" s="189">
        <f t="shared" si="25"/>
        <v>173.65</v>
      </c>
      <c r="M80" s="189">
        <f t="shared" si="25"/>
        <v>0</v>
      </c>
      <c r="N80" s="189">
        <f t="shared" si="25"/>
        <v>0</v>
      </c>
      <c r="O80" s="189">
        <f t="shared" si="25"/>
        <v>156.47999999999999</v>
      </c>
    </row>
    <row r="81" spans="1:15">
      <c r="A81" s="2079">
        <v>26</v>
      </c>
      <c r="B81" s="195" t="s">
        <v>96</v>
      </c>
      <c r="C81" s="191">
        <v>275131</v>
      </c>
      <c r="D81" s="184">
        <f>ROUND((C81*(1+'Løntabel gældende fra'!$D$7%)),0)</f>
        <v>318931</v>
      </c>
      <c r="E81" s="192">
        <v>280123</v>
      </c>
      <c r="F81" s="193">
        <f>ROUND((E81*(1+'Løntabel gældende fra'!$D$7%)),0)</f>
        <v>324718</v>
      </c>
      <c r="G81" s="191">
        <v>283580</v>
      </c>
      <c r="H81" s="184">
        <f>ROUND((G81*(1+'Løntabel gældende fra'!$D$7%)),0)</f>
        <v>328725</v>
      </c>
      <c r="I81" s="192">
        <v>288573</v>
      </c>
      <c r="J81" s="193">
        <f>ROUND((I81*(1+'Løntabel gældende fra'!$D$7%)),0)</f>
        <v>334513</v>
      </c>
      <c r="K81" s="191">
        <v>292029</v>
      </c>
      <c r="L81" s="184">
        <f>ROUND((K81*(1+'Løntabel gældende fra'!$D$7%)),0)</f>
        <v>338519</v>
      </c>
      <c r="M81" s="396"/>
      <c r="N81" s="374">
        <v>264528.59000000003</v>
      </c>
      <c r="O81" s="198">
        <f>ROUND(N81*(1+'Løntabel gældende fra'!$D$7%),2)</f>
        <v>306640.75</v>
      </c>
    </row>
    <row r="82" spans="1:15">
      <c r="A82" s="2080"/>
      <c r="B82" s="380" t="s">
        <v>231</v>
      </c>
      <c r="C82" s="383"/>
      <c r="D82" s="390">
        <f>ROUND(D81/12,2)</f>
        <v>26577.58</v>
      </c>
      <c r="E82" s="387">
        <f>E81/12</f>
        <v>23343.583333333332</v>
      </c>
      <c r="F82" s="372">
        <f>ROUND(F81/12,2)</f>
        <v>27059.83</v>
      </c>
      <c r="G82" s="383">
        <f>G81/12</f>
        <v>23631.666666666668</v>
      </c>
      <c r="H82" s="390">
        <f>ROUND(H81/12,2)</f>
        <v>27393.75</v>
      </c>
      <c r="I82" s="387">
        <f>I81/12</f>
        <v>24047.75</v>
      </c>
      <c r="J82" s="372">
        <f>ROUND(J81/12,2)</f>
        <v>27876.080000000002</v>
      </c>
      <c r="K82" s="383">
        <f>K81/12</f>
        <v>24335.75</v>
      </c>
      <c r="L82" s="390">
        <f>ROUND(L81/12,2)</f>
        <v>28209.919999999998</v>
      </c>
      <c r="M82" s="395"/>
      <c r="N82" s="373"/>
      <c r="O82" s="375">
        <f>ROUND(O81/12,2)</f>
        <v>25553.4</v>
      </c>
    </row>
    <row r="83" spans="1:15" ht="16" thickBot="1">
      <c r="A83" s="2081"/>
      <c r="B83" s="381" t="s">
        <v>226</v>
      </c>
      <c r="C83" s="188">
        <f>C81/12</f>
        <v>22927.583333333332</v>
      </c>
      <c r="D83" s="189">
        <f>ROUND(D82/160.33,2)</f>
        <v>165.77</v>
      </c>
      <c r="E83" s="388"/>
      <c r="F83" s="189">
        <f t="shared" ref="F83:O83" si="26">ROUND(F82/160.33,2)</f>
        <v>168.78</v>
      </c>
      <c r="G83" s="189">
        <f t="shared" si="26"/>
        <v>147.38999999999999</v>
      </c>
      <c r="H83" s="189">
        <f t="shared" si="26"/>
        <v>170.86</v>
      </c>
      <c r="I83" s="189">
        <f t="shared" si="26"/>
        <v>149.99</v>
      </c>
      <c r="J83" s="189">
        <f t="shared" si="26"/>
        <v>173.87</v>
      </c>
      <c r="K83" s="189">
        <f t="shared" si="26"/>
        <v>151.79</v>
      </c>
      <c r="L83" s="189">
        <f t="shared" si="26"/>
        <v>175.95</v>
      </c>
      <c r="M83" s="189">
        <f t="shared" si="26"/>
        <v>0</v>
      </c>
      <c r="N83" s="189">
        <f t="shared" si="26"/>
        <v>0</v>
      </c>
      <c r="O83" s="189">
        <f t="shared" si="26"/>
        <v>159.38</v>
      </c>
    </row>
    <row r="84" spans="1:15">
      <c r="A84" s="2082">
        <v>27</v>
      </c>
      <c r="B84" s="194" t="s">
        <v>96</v>
      </c>
      <c r="C84" s="183">
        <v>279656</v>
      </c>
      <c r="D84" s="187">
        <f>ROUND((C84*(1+'Løntabel gældende fra'!$D$7%)),0)</f>
        <v>324176</v>
      </c>
      <c r="E84" s="185">
        <v>284456</v>
      </c>
      <c r="F84" s="186">
        <f>ROUND((E84*(1+'Løntabel gældende fra'!$D$7%)),0)</f>
        <v>329741</v>
      </c>
      <c r="G84" s="183">
        <v>287782</v>
      </c>
      <c r="H84" s="187">
        <f>ROUND((G84*(1+'Løntabel gældende fra'!$D$7%)),0)</f>
        <v>333596</v>
      </c>
      <c r="I84" s="185">
        <v>292583</v>
      </c>
      <c r="J84" s="186">
        <f>ROUND((I84*(1+'Løntabel gældende fra'!$D$7%)),0)</f>
        <v>339161</v>
      </c>
      <c r="K84" s="183">
        <v>295908</v>
      </c>
      <c r="L84" s="187">
        <f>ROUND((K84*(1+'Løntabel gældende fra'!$D$7%)),0)</f>
        <v>343016</v>
      </c>
      <c r="M84" s="397"/>
      <c r="N84" s="376">
        <v>269459.90000000002</v>
      </c>
      <c r="O84" s="377">
        <f>ROUND(N84*(1+'Løntabel gældende fra'!$D$7%),2)</f>
        <v>312357.11</v>
      </c>
    </row>
    <row r="85" spans="1:15">
      <c r="A85" s="2080"/>
      <c r="B85" s="380" t="s">
        <v>231</v>
      </c>
      <c r="C85" s="383"/>
      <c r="D85" s="390">
        <f>ROUND(D84/12,2)</f>
        <v>27014.67</v>
      </c>
      <c r="E85" s="387">
        <f>E84/12</f>
        <v>23704.666666666668</v>
      </c>
      <c r="F85" s="372">
        <f>ROUND(F84/12,2)</f>
        <v>27478.42</v>
      </c>
      <c r="G85" s="383">
        <f>G84/12</f>
        <v>23981.833333333332</v>
      </c>
      <c r="H85" s="390">
        <f>ROUND(H84/12,2)</f>
        <v>27799.67</v>
      </c>
      <c r="I85" s="387">
        <f>I84/12</f>
        <v>24381.916666666668</v>
      </c>
      <c r="J85" s="372">
        <f>ROUND(J84/12,2)</f>
        <v>28263.42</v>
      </c>
      <c r="K85" s="383">
        <f>K84/12</f>
        <v>24659</v>
      </c>
      <c r="L85" s="390">
        <f>ROUND(L84/12,2)</f>
        <v>28584.67</v>
      </c>
      <c r="M85" s="395"/>
      <c r="N85" s="373"/>
      <c r="O85" s="375">
        <f>ROUND(O84/12,2)</f>
        <v>26029.759999999998</v>
      </c>
    </row>
    <row r="86" spans="1:15" ht="16" thickBot="1">
      <c r="A86" s="2083"/>
      <c r="B86" s="382" t="s">
        <v>226</v>
      </c>
      <c r="C86" s="386">
        <f>C84/12</f>
        <v>23304.666666666668</v>
      </c>
      <c r="D86" s="189">
        <f>ROUND(D85/160.33,2)</f>
        <v>168.49</v>
      </c>
      <c r="E86" s="389"/>
      <c r="F86" s="189">
        <f t="shared" ref="F86:O86" si="27">ROUND(F85/160.33,2)</f>
        <v>171.39</v>
      </c>
      <c r="G86" s="189">
        <f t="shared" si="27"/>
        <v>149.58000000000001</v>
      </c>
      <c r="H86" s="189">
        <f t="shared" si="27"/>
        <v>173.39</v>
      </c>
      <c r="I86" s="189">
        <f t="shared" si="27"/>
        <v>152.07</v>
      </c>
      <c r="J86" s="189">
        <f t="shared" si="27"/>
        <v>176.28</v>
      </c>
      <c r="K86" s="189">
        <f t="shared" si="27"/>
        <v>153.80000000000001</v>
      </c>
      <c r="L86" s="189">
        <f t="shared" si="27"/>
        <v>178.29</v>
      </c>
      <c r="M86" s="189">
        <f t="shared" si="27"/>
        <v>0</v>
      </c>
      <c r="N86" s="189">
        <f t="shared" si="27"/>
        <v>0</v>
      </c>
      <c r="O86" s="189">
        <f t="shared" si="27"/>
        <v>162.35</v>
      </c>
    </row>
    <row r="87" spans="1:15">
      <c r="A87" s="2079">
        <v>28</v>
      </c>
      <c r="B87" s="195" t="s">
        <v>96</v>
      </c>
      <c r="C87" s="191">
        <v>284283</v>
      </c>
      <c r="D87" s="184">
        <f>ROUND((C87*(1+'Løntabel gældende fra'!$D$7%)),0)</f>
        <v>329540</v>
      </c>
      <c r="E87" s="192">
        <v>288881</v>
      </c>
      <c r="F87" s="193">
        <f>ROUND((E87*(1+'Løntabel gældende fra'!$D$7%)),0)</f>
        <v>334870</v>
      </c>
      <c r="G87" s="191">
        <v>292064</v>
      </c>
      <c r="H87" s="184">
        <f>ROUND((G87*(1+'Løntabel gældende fra'!$D$7%)),0)</f>
        <v>338560</v>
      </c>
      <c r="I87" s="192">
        <v>296661</v>
      </c>
      <c r="J87" s="193">
        <f>ROUND((I87*(1+'Løntabel gældende fra'!$D$7%)),0)</f>
        <v>343889</v>
      </c>
      <c r="K87" s="191">
        <v>299845</v>
      </c>
      <c r="L87" s="184">
        <f>ROUND((K87*(1+'Løntabel gældende fra'!$D$7%)),0)</f>
        <v>347579</v>
      </c>
      <c r="M87" s="396"/>
      <c r="N87" s="374">
        <v>274522.23</v>
      </c>
      <c r="O87" s="198">
        <f>ROUND(N87*(1+'Løntabel gældende fra'!$D$7%),2)</f>
        <v>318225.34999999998</v>
      </c>
    </row>
    <row r="88" spans="1:15">
      <c r="A88" s="2080"/>
      <c r="B88" s="380" t="s">
        <v>231</v>
      </c>
      <c r="C88" s="383"/>
      <c r="D88" s="390">
        <f>ROUND(D87/12,2)</f>
        <v>27461.67</v>
      </c>
      <c r="E88" s="387">
        <f>E87/12</f>
        <v>24073.416666666668</v>
      </c>
      <c r="F88" s="372">
        <f>ROUND(F87/12,2)</f>
        <v>27905.83</v>
      </c>
      <c r="G88" s="383">
        <f>G87/12</f>
        <v>24338.666666666668</v>
      </c>
      <c r="H88" s="390">
        <f>ROUND(H87/12,2)</f>
        <v>28213.33</v>
      </c>
      <c r="I88" s="387">
        <f>I87/12</f>
        <v>24721.75</v>
      </c>
      <c r="J88" s="372">
        <f>ROUND(J87/12,2)</f>
        <v>28657.42</v>
      </c>
      <c r="K88" s="383">
        <f>K87/12</f>
        <v>24987.083333333332</v>
      </c>
      <c r="L88" s="390">
        <f>ROUND(L87/12,2)</f>
        <v>28964.92</v>
      </c>
      <c r="M88" s="395"/>
      <c r="N88" s="373"/>
      <c r="O88" s="375">
        <f>ROUND(O87/12,2)</f>
        <v>26518.78</v>
      </c>
    </row>
    <row r="89" spans="1:15" ht="16" thickBot="1">
      <c r="A89" s="2081"/>
      <c r="B89" s="381" t="s">
        <v>226</v>
      </c>
      <c r="C89" s="188">
        <f>C87/12</f>
        <v>23690.25</v>
      </c>
      <c r="D89" s="189">
        <f>ROUND(D88/160.33,2)</f>
        <v>171.28</v>
      </c>
      <c r="E89" s="189">
        <f t="shared" ref="E89:O89" si="28">ROUND(E88/160.33,2)</f>
        <v>150.15</v>
      </c>
      <c r="F89" s="189">
        <f t="shared" si="28"/>
        <v>174.05</v>
      </c>
      <c r="G89" s="189">
        <f t="shared" si="28"/>
        <v>151.80000000000001</v>
      </c>
      <c r="H89" s="189">
        <f t="shared" si="28"/>
        <v>175.97</v>
      </c>
      <c r="I89" s="189">
        <f t="shared" si="28"/>
        <v>154.19</v>
      </c>
      <c r="J89" s="189">
        <f t="shared" si="28"/>
        <v>178.74</v>
      </c>
      <c r="K89" s="189">
        <f t="shared" si="28"/>
        <v>155.85</v>
      </c>
      <c r="L89" s="189">
        <f t="shared" si="28"/>
        <v>180.66</v>
      </c>
      <c r="M89" s="189">
        <f t="shared" si="28"/>
        <v>0</v>
      </c>
      <c r="N89" s="189">
        <f t="shared" si="28"/>
        <v>0</v>
      </c>
      <c r="O89" s="189">
        <f t="shared" si="28"/>
        <v>165.4</v>
      </c>
    </row>
    <row r="90" spans="1:15">
      <c r="A90" s="2082">
        <v>29</v>
      </c>
      <c r="B90" s="194" t="s">
        <v>96</v>
      </c>
      <c r="C90" s="183">
        <v>289014</v>
      </c>
      <c r="D90" s="187">
        <f>ROUND((C90*(1+'Løntabel gældende fra'!$D$7%)),0)</f>
        <v>335024</v>
      </c>
      <c r="E90" s="185">
        <v>293394</v>
      </c>
      <c r="F90" s="186">
        <f>ROUND((E90*(1+'Løntabel gældende fra'!$D$7%)),0)</f>
        <v>340101</v>
      </c>
      <c r="G90" s="183">
        <v>296427</v>
      </c>
      <c r="H90" s="187">
        <f>ROUND((G90*(1+'Løntabel gældende fra'!$D$7%)),0)</f>
        <v>343617</v>
      </c>
      <c r="I90" s="185">
        <v>300807</v>
      </c>
      <c r="J90" s="186">
        <f>ROUND((I90*(1+'Løntabel gældende fra'!$D$7%)),0)</f>
        <v>348695</v>
      </c>
      <c r="K90" s="183">
        <v>303839</v>
      </c>
      <c r="L90" s="187">
        <f>ROUND((K90*(1+'Løntabel gældende fra'!$D$7%)),0)</f>
        <v>352209</v>
      </c>
      <c r="M90" s="397"/>
      <c r="N90" s="376">
        <v>279714.99</v>
      </c>
      <c r="O90" s="377">
        <f>ROUND(N90*(1+'Løntabel gældende fra'!$D$7%),2)</f>
        <v>324244.78000000003</v>
      </c>
    </row>
    <row r="91" spans="1:15">
      <c r="A91" s="2080"/>
      <c r="B91" s="380" t="s">
        <v>231</v>
      </c>
      <c r="C91" s="383"/>
      <c r="D91" s="390">
        <f>ROUND(D90/12,2)</f>
        <v>27918.67</v>
      </c>
      <c r="E91" s="387">
        <f>E90/12</f>
        <v>24449.5</v>
      </c>
      <c r="F91" s="372">
        <f>ROUND(F90/12,2)</f>
        <v>28341.75</v>
      </c>
      <c r="G91" s="383">
        <f>G90/12</f>
        <v>24702.25</v>
      </c>
      <c r="H91" s="390">
        <f>ROUND(H90/12,2)</f>
        <v>28634.75</v>
      </c>
      <c r="I91" s="387">
        <f>I90/12</f>
        <v>25067.25</v>
      </c>
      <c r="J91" s="372">
        <f>ROUND(J90/12,2)</f>
        <v>29057.919999999998</v>
      </c>
      <c r="K91" s="383">
        <f>K90/12</f>
        <v>25319.916666666668</v>
      </c>
      <c r="L91" s="390">
        <f>ROUND(L90/12,2)</f>
        <v>29350.75</v>
      </c>
      <c r="M91" s="395"/>
      <c r="N91" s="373"/>
      <c r="O91" s="375">
        <f>ROUND(O90/12,2)</f>
        <v>27020.400000000001</v>
      </c>
    </row>
    <row r="92" spans="1:15" ht="16" thickBot="1">
      <c r="A92" s="2083"/>
      <c r="B92" s="382" t="s">
        <v>226</v>
      </c>
      <c r="C92" s="386">
        <f>C90/12</f>
        <v>24084.5</v>
      </c>
      <c r="D92" s="189">
        <f>ROUND(D91/160.33,2)</f>
        <v>174.13</v>
      </c>
      <c r="E92" s="389"/>
      <c r="F92" s="189">
        <f t="shared" ref="F92:O92" si="29">ROUND(F91/160.33,2)</f>
        <v>176.77</v>
      </c>
      <c r="G92" s="189">
        <f t="shared" si="29"/>
        <v>154.07</v>
      </c>
      <c r="H92" s="189">
        <f t="shared" si="29"/>
        <v>178.6</v>
      </c>
      <c r="I92" s="189">
        <f t="shared" si="29"/>
        <v>156.35</v>
      </c>
      <c r="J92" s="189">
        <f t="shared" si="29"/>
        <v>181.24</v>
      </c>
      <c r="K92" s="189">
        <f t="shared" si="29"/>
        <v>157.91999999999999</v>
      </c>
      <c r="L92" s="189">
        <f t="shared" si="29"/>
        <v>183.06</v>
      </c>
      <c r="M92" s="189">
        <f t="shared" si="29"/>
        <v>0</v>
      </c>
      <c r="N92" s="189">
        <f t="shared" si="29"/>
        <v>0</v>
      </c>
      <c r="O92" s="189">
        <f t="shared" si="29"/>
        <v>168.53</v>
      </c>
    </row>
    <row r="93" spans="1:15">
      <c r="A93" s="2079">
        <v>30</v>
      </c>
      <c r="B93" s="195" t="s">
        <v>96</v>
      </c>
      <c r="C93" s="191">
        <v>293853</v>
      </c>
      <c r="D93" s="184">
        <f>ROUND((C93*(1+'Løntabel gældende fra'!$D$7%)),0)</f>
        <v>340634</v>
      </c>
      <c r="E93" s="192">
        <v>298001</v>
      </c>
      <c r="F93" s="193">
        <f>ROUND((E93*(1+'Løntabel gældende fra'!$D$7%)),0)</f>
        <v>345442</v>
      </c>
      <c r="G93" s="191">
        <v>300872</v>
      </c>
      <c r="H93" s="184">
        <f>ROUND((G93*(1+'Løntabel gældende fra'!$D$7%)),0)</f>
        <v>348770</v>
      </c>
      <c r="I93" s="192">
        <v>305018</v>
      </c>
      <c r="J93" s="193">
        <f>ROUND((I93*(1+'Løntabel gældende fra'!$D$7%)),0)</f>
        <v>353576</v>
      </c>
      <c r="K93" s="191">
        <v>307890</v>
      </c>
      <c r="L93" s="184">
        <f>ROUND((K93*(1+'Løntabel gældende fra'!$D$7%)),0)</f>
        <v>356905</v>
      </c>
      <c r="M93" s="396"/>
      <c r="N93" s="374">
        <v>285044.74</v>
      </c>
      <c r="O93" s="198">
        <f>ROUND(N93*(1+'Løntabel gældende fra'!$D$7%),2)</f>
        <v>330423.01</v>
      </c>
    </row>
    <row r="94" spans="1:15">
      <c r="A94" s="2080"/>
      <c r="B94" s="380" t="s">
        <v>97</v>
      </c>
      <c r="C94" s="383"/>
      <c r="D94" s="390">
        <f>ROUND(D93/12,2)</f>
        <v>28386.17</v>
      </c>
      <c r="E94" s="387">
        <f>E93/12</f>
        <v>24833.416666666668</v>
      </c>
      <c r="F94" s="372">
        <f>ROUND(F93/12,2)</f>
        <v>28786.83</v>
      </c>
      <c r="G94" s="383">
        <f>G93/12</f>
        <v>25072.666666666668</v>
      </c>
      <c r="H94" s="390">
        <f>ROUND(H93/12,2)</f>
        <v>29064.17</v>
      </c>
      <c r="I94" s="387">
        <f>I93/12</f>
        <v>25418.166666666668</v>
      </c>
      <c r="J94" s="372">
        <f>ROUND(J93/12,2)</f>
        <v>29464.67</v>
      </c>
      <c r="K94" s="383">
        <f>K93/12</f>
        <v>25657.5</v>
      </c>
      <c r="L94" s="390">
        <f>ROUND(L93/12,2)</f>
        <v>29742.080000000002</v>
      </c>
      <c r="M94" s="395"/>
      <c r="N94" s="373"/>
      <c r="O94" s="375">
        <f>ROUND(O93/12,2)</f>
        <v>27535.25</v>
      </c>
    </row>
    <row r="95" spans="1:15" ht="16" thickBot="1">
      <c r="A95" s="2081"/>
      <c r="B95" s="381" t="s">
        <v>226</v>
      </c>
      <c r="C95" s="188">
        <f>C93/12</f>
        <v>24487.75</v>
      </c>
      <c r="D95" s="189">
        <f>ROUND(D94/160.33,2)</f>
        <v>177.05</v>
      </c>
      <c r="E95" s="388"/>
      <c r="F95" s="189">
        <f t="shared" ref="F95:O95" si="30">ROUND(F94/160.33,2)</f>
        <v>179.55</v>
      </c>
      <c r="G95" s="189">
        <f t="shared" si="30"/>
        <v>156.38</v>
      </c>
      <c r="H95" s="189">
        <f t="shared" si="30"/>
        <v>181.28</v>
      </c>
      <c r="I95" s="189">
        <f t="shared" si="30"/>
        <v>158.54</v>
      </c>
      <c r="J95" s="189">
        <f t="shared" si="30"/>
        <v>183.78</v>
      </c>
      <c r="K95" s="189">
        <f t="shared" si="30"/>
        <v>160.03</v>
      </c>
      <c r="L95" s="189">
        <f t="shared" si="30"/>
        <v>185.51</v>
      </c>
      <c r="M95" s="189">
        <f t="shared" si="30"/>
        <v>0</v>
      </c>
      <c r="N95" s="189">
        <f t="shared" si="30"/>
        <v>0</v>
      </c>
      <c r="O95" s="189">
        <f t="shared" si="30"/>
        <v>171.74</v>
      </c>
    </row>
    <row r="96" spans="1:15">
      <c r="A96" s="2082">
        <v>31</v>
      </c>
      <c r="B96" s="194" t="s">
        <v>96</v>
      </c>
      <c r="C96" s="183">
        <v>298795</v>
      </c>
      <c r="D96" s="187">
        <f>ROUND((C96*(1+'Løntabel gældende fra'!$D$7%)),0)</f>
        <v>346362</v>
      </c>
      <c r="E96" s="185">
        <v>302696</v>
      </c>
      <c r="F96" s="186">
        <f>ROUND((E96*(1+'Løntabel gældende fra'!$D$7%)),0)</f>
        <v>350884</v>
      </c>
      <c r="G96" s="183">
        <v>305398</v>
      </c>
      <c r="H96" s="187">
        <f>ROUND((G96*(1+'Løntabel gældende fra'!$D$7%)),0)</f>
        <v>354016</v>
      </c>
      <c r="I96" s="185">
        <v>309299</v>
      </c>
      <c r="J96" s="186">
        <f>ROUND((I96*(1+'Løntabel gældende fra'!$D$7%)),0)</f>
        <v>358538</v>
      </c>
      <c r="K96" s="183">
        <v>312000</v>
      </c>
      <c r="L96" s="187">
        <f>ROUND((K96*(1+'Løntabel gældende fra'!$D$7%)),0)</f>
        <v>361669</v>
      </c>
      <c r="M96" s="397"/>
      <c r="N96" s="376">
        <v>290512.64000000001</v>
      </c>
      <c r="O96" s="377">
        <f>ROUND(N96*(1+'Løntabel gældende fra'!$D$7%),2)</f>
        <v>336761.38</v>
      </c>
    </row>
    <row r="97" spans="1:15">
      <c r="A97" s="2080"/>
      <c r="B97" s="380" t="s">
        <v>231</v>
      </c>
      <c r="C97" s="383"/>
      <c r="D97" s="390">
        <f>ROUND(D96/12,2)</f>
        <v>28863.5</v>
      </c>
      <c r="E97" s="387">
        <f>E96/12</f>
        <v>25224.666666666668</v>
      </c>
      <c r="F97" s="372">
        <f>ROUND(F96/12,2)</f>
        <v>29240.33</v>
      </c>
      <c r="G97" s="383">
        <f>G96/12</f>
        <v>25449.833333333332</v>
      </c>
      <c r="H97" s="390">
        <f>ROUND(H96/12,2)</f>
        <v>29501.33</v>
      </c>
      <c r="I97" s="387">
        <f>I96/12</f>
        <v>25774.916666666668</v>
      </c>
      <c r="J97" s="372">
        <f>ROUND(J96/12,2)</f>
        <v>29878.17</v>
      </c>
      <c r="K97" s="383">
        <f>K96/12</f>
        <v>26000</v>
      </c>
      <c r="L97" s="390">
        <f>ROUND(L96/12,2)</f>
        <v>30139.08</v>
      </c>
      <c r="M97" s="395"/>
      <c r="N97" s="373"/>
      <c r="O97" s="375">
        <f>ROUND(O96/12,2)</f>
        <v>28063.45</v>
      </c>
    </row>
    <row r="98" spans="1:15" ht="16" thickBot="1">
      <c r="A98" s="2083"/>
      <c r="B98" s="382" t="s">
        <v>226</v>
      </c>
      <c r="C98" s="386">
        <f>C96/12</f>
        <v>24899.583333333332</v>
      </c>
      <c r="D98" s="189">
        <f>ROUND(D97/160.33,2)</f>
        <v>180.03</v>
      </c>
      <c r="E98" s="389"/>
      <c r="F98" s="189">
        <f t="shared" ref="F98:O98" si="31">ROUND(F97/160.33,2)</f>
        <v>182.38</v>
      </c>
      <c r="G98" s="189">
        <f t="shared" si="31"/>
        <v>158.72999999999999</v>
      </c>
      <c r="H98" s="189">
        <f t="shared" si="31"/>
        <v>184</v>
      </c>
      <c r="I98" s="189">
        <f t="shared" si="31"/>
        <v>160.76</v>
      </c>
      <c r="J98" s="189">
        <f t="shared" si="31"/>
        <v>186.35</v>
      </c>
      <c r="K98" s="189">
        <f t="shared" si="31"/>
        <v>162.16999999999999</v>
      </c>
      <c r="L98" s="189">
        <f t="shared" si="31"/>
        <v>187.98</v>
      </c>
      <c r="M98" s="189">
        <f t="shared" si="31"/>
        <v>0</v>
      </c>
      <c r="N98" s="189">
        <f t="shared" si="31"/>
        <v>0</v>
      </c>
      <c r="O98" s="189">
        <f t="shared" si="31"/>
        <v>175.04</v>
      </c>
    </row>
    <row r="99" spans="1:15">
      <c r="A99" s="2079">
        <v>32</v>
      </c>
      <c r="B99" s="195" t="s">
        <v>96</v>
      </c>
      <c r="C99" s="191">
        <v>303852</v>
      </c>
      <c r="D99" s="184">
        <f>ROUND((C99*(1+'Løntabel gældende fra'!$D$7%)),0)</f>
        <v>352224</v>
      </c>
      <c r="E99" s="192">
        <v>307490</v>
      </c>
      <c r="F99" s="193">
        <f>ROUND((E99*(1+'Løntabel gældende fra'!$D$7%)),0)</f>
        <v>356441</v>
      </c>
      <c r="G99" s="191">
        <v>310009</v>
      </c>
      <c r="H99" s="184">
        <f>ROUND((G99*(1+'Løntabel gældende fra'!$D$7%)),0)</f>
        <v>359362</v>
      </c>
      <c r="I99" s="192">
        <v>313649</v>
      </c>
      <c r="J99" s="193">
        <f>ROUND((I99*(1+'Løntabel gældende fra'!$D$7%)),0)</f>
        <v>363581</v>
      </c>
      <c r="K99" s="191">
        <v>316167</v>
      </c>
      <c r="L99" s="184">
        <f>ROUND((K99*(1+'Løntabel gældende fra'!$D$7%)),0)</f>
        <v>366500</v>
      </c>
      <c r="M99" s="396"/>
      <c r="N99" s="374">
        <v>296125.21000000002</v>
      </c>
      <c r="O99" s="198">
        <f>ROUND(N99*(1+'Løntabel gældende fra'!$D$7%),2)</f>
        <v>343267.46</v>
      </c>
    </row>
    <row r="100" spans="1:15">
      <c r="A100" s="2080"/>
      <c r="B100" s="380" t="s">
        <v>97</v>
      </c>
      <c r="C100" s="383"/>
      <c r="D100" s="390">
        <f>ROUND(D99/12,2)</f>
        <v>29352</v>
      </c>
      <c r="E100" s="387">
        <f>E99/12</f>
        <v>25624.166666666668</v>
      </c>
      <c r="F100" s="372">
        <f>ROUND(F99/12,2)</f>
        <v>29703.42</v>
      </c>
      <c r="G100" s="383">
        <f>G99/12</f>
        <v>25834.083333333332</v>
      </c>
      <c r="H100" s="390">
        <f>ROUND(H99/12,2)</f>
        <v>29946.83</v>
      </c>
      <c r="I100" s="387">
        <f>I99/12</f>
        <v>26137.416666666668</v>
      </c>
      <c r="J100" s="372">
        <f>ROUND(J99/12,2)</f>
        <v>30298.42</v>
      </c>
      <c r="K100" s="383">
        <f>K99/12</f>
        <v>26347.25</v>
      </c>
      <c r="L100" s="390">
        <f>ROUND(L99/12,2)</f>
        <v>30541.67</v>
      </c>
      <c r="M100" s="395"/>
      <c r="N100" s="373"/>
      <c r="O100" s="375">
        <f>ROUND(O99/12,2)</f>
        <v>28605.62</v>
      </c>
    </row>
    <row r="101" spans="1:15" ht="16" thickBot="1">
      <c r="A101" s="2081"/>
      <c r="B101" s="381" t="s">
        <v>226</v>
      </c>
      <c r="C101" s="188">
        <f>C99/12</f>
        <v>25321</v>
      </c>
      <c r="D101" s="189">
        <f>ROUND(D100/160.33,2)</f>
        <v>183.07</v>
      </c>
      <c r="E101" s="388"/>
      <c r="F101" s="189">
        <f t="shared" ref="F101:O101" si="32">ROUND(F100/160.33,2)</f>
        <v>185.26</v>
      </c>
      <c r="G101" s="189">
        <f t="shared" si="32"/>
        <v>161.13</v>
      </c>
      <c r="H101" s="189">
        <f t="shared" si="32"/>
        <v>186.78</v>
      </c>
      <c r="I101" s="189">
        <f t="shared" si="32"/>
        <v>163.02000000000001</v>
      </c>
      <c r="J101" s="189">
        <f t="shared" si="32"/>
        <v>188.98</v>
      </c>
      <c r="K101" s="189">
        <f t="shared" si="32"/>
        <v>164.33</v>
      </c>
      <c r="L101" s="189">
        <f t="shared" si="32"/>
        <v>190.49</v>
      </c>
      <c r="M101" s="189">
        <f t="shared" si="32"/>
        <v>0</v>
      </c>
      <c r="N101" s="189">
        <f t="shared" si="32"/>
        <v>0</v>
      </c>
      <c r="O101" s="189">
        <f t="shared" si="32"/>
        <v>178.42</v>
      </c>
    </row>
    <row r="102" spans="1:15">
      <c r="A102" s="2082">
        <v>33</v>
      </c>
      <c r="B102" s="194" t="s">
        <v>96</v>
      </c>
      <c r="C102" s="183">
        <v>309016</v>
      </c>
      <c r="D102" s="187">
        <f>ROUND((C102*(1+'Løntabel gældende fra'!$D$7%)),0)</f>
        <v>358210</v>
      </c>
      <c r="E102" s="185">
        <v>312375</v>
      </c>
      <c r="F102" s="186">
        <f>ROUND((E102*(1+'Løntabel gældende fra'!$D$7%)),0)</f>
        <v>362104</v>
      </c>
      <c r="G102" s="183">
        <v>314703</v>
      </c>
      <c r="H102" s="187">
        <f>ROUND((G102*(1+'Løntabel gældende fra'!$D$7%)),0)</f>
        <v>364803</v>
      </c>
      <c r="I102" s="185">
        <v>318063</v>
      </c>
      <c r="J102" s="186">
        <f>ROUND((I102*(1+'Løntabel gældende fra'!$D$7%)),0)</f>
        <v>368698</v>
      </c>
      <c r="K102" s="183">
        <v>320390</v>
      </c>
      <c r="L102" s="187">
        <f>ROUND((K102*(1+'Løntabel gældende fra'!$D$7%)),0)</f>
        <v>371395</v>
      </c>
      <c r="M102" s="397"/>
      <c r="N102" s="376">
        <v>301881.8</v>
      </c>
      <c r="O102" s="377">
        <f>ROUND(N102*(1+'Løntabel gældende fra'!$D$7%),2)</f>
        <v>349940.47999999998</v>
      </c>
    </row>
    <row r="103" spans="1:15">
      <c r="A103" s="2080"/>
      <c r="B103" s="380" t="s">
        <v>231</v>
      </c>
      <c r="C103" s="383"/>
      <c r="D103" s="390">
        <f>ROUND(D102/12,2)</f>
        <v>29850.83</v>
      </c>
      <c r="E103" s="387">
        <f>E102/12</f>
        <v>26031.25</v>
      </c>
      <c r="F103" s="372">
        <f>ROUND(F102/12,2)</f>
        <v>30175.33</v>
      </c>
      <c r="G103" s="383">
        <f>G102/12</f>
        <v>26225.25</v>
      </c>
      <c r="H103" s="390">
        <f>ROUND(H102/12,2)</f>
        <v>30400.25</v>
      </c>
      <c r="I103" s="387">
        <f>I102/12</f>
        <v>26505.25</v>
      </c>
      <c r="J103" s="372">
        <f>ROUND(J102/12,2)</f>
        <v>30724.83</v>
      </c>
      <c r="K103" s="383">
        <f>K102/12</f>
        <v>26699.166666666668</v>
      </c>
      <c r="L103" s="390">
        <f>ROUND(L102/12,2)</f>
        <v>30949.58</v>
      </c>
      <c r="M103" s="395"/>
      <c r="N103" s="373"/>
      <c r="O103" s="375">
        <f>ROUND(O102/12,2)</f>
        <v>29161.71</v>
      </c>
    </row>
    <row r="104" spans="1:15" ht="16" thickBot="1">
      <c r="A104" s="2083"/>
      <c r="B104" s="382" t="s">
        <v>226</v>
      </c>
      <c r="C104" s="386">
        <f>C102/12</f>
        <v>25751.333333333332</v>
      </c>
      <c r="D104" s="189">
        <f>ROUND(D103/160.33,2)</f>
        <v>186.18</v>
      </c>
      <c r="E104" s="389"/>
      <c r="F104" s="189">
        <f t="shared" ref="F104:O104" si="33">ROUND(F103/160.33,2)</f>
        <v>188.21</v>
      </c>
      <c r="G104" s="189">
        <f t="shared" si="33"/>
        <v>163.57</v>
      </c>
      <c r="H104" s="189">
        <f t="shared" si="33"/>
        <v>189.61</v>
      </c>
      <c r="I104" s="189">
        <f t="shared" si="33"/>
        <v>165.32</v>
      </c>
      <c r="J104" s="189">
        <f t="shared" si="33"/>
        <v>191.63</v>
      </c>
      <c r="K104" s="189">
        <f t="shared" si="33"/>
        <v>166.53</v>
      </c>
      <c r="L104" s="189">
        <f t="shared" si="33"/>
        <v>193.04</v>
      </c>
      <c r="M104" s="189">
        <f t="shared" si="33"/>
        <v>0</v>
      </c>
      <c r="N104" s="189">
        <f t="shared" si="33"/>
        <v>0</v>
      </c>
      <c r="O104" s="189">
        <f t="shared" si="33"/>
        <v>181.89</v>
      </c>
    </row>
    <row r="105" spans="1:15">
      <c r="A105" s="2079">
        <v>34</v>
      </c>
      <c r="B105" s="195" t="s">
        <v>96</v>
      </c>
      <c r="C105" s="191">
        <v>314298</v>
      </c>
      <c r="D105" s="184">
        <f>ROUND((C105*(1+'Løntabel gældende fra'!$D$7%)),0)</f>
        <v>364333</v>
      </c>
      <c r="E105" s="192">
        <v>317363</v>
      </c>
      <c r="F105" s="193">
        <f>ROUND((E105*(1+'Løntabel gældende fra'!$D$7%)),0)</f>
        <v>367886</v>
      </c>
      <c r="G105" s="191">
        <v>319485</v>
      </c>
      <c r="H105" s="184">
        <f>ROUND((G105*(1+'Løntabel gældende fra'!$D$7%)),0)</f>
        <v>370346</v>
      </c>
      <c r="I105" s="192">
        <v>322548</v>
      </c>
      <c r="J105" s="193">
        <f>ROUND((I105*(1+'Løntabel gældende fra'!$D$7%)),0)</f>
        <v>373897</v>
      </c>
      <c r="K105" s="191">
        <v>324670</v>
      </c>
      <c r="L105" s="184">
        <f>ROUND((K105*(1+'Løntabel gældende fra'!$D$7%)),0)</f>
        <v>376356</v>
      </c>
      <c r="M105" s="396"/>
      <c r="N105" s="374">
        <v>307790.62</v>
      </c>
      <c r="O105" s="198">
        <f>ROUND(N105*(1+'Løntabel gældende fra'!$D$7%),2)</f>
        <v>356789.96</v>
      </c>
    </row>
    <row r="106" spans="1:15">
      <c r="A106" s="2080"/>
      <c r="B106" s="380" t="s">
        <v>231</v>
      </c>
      <c r="C106" s="383"/>
      <c r="D106" s="390">
        <f>ROUND(D105/12,2)</f>
        <v>30361.08</v>
      </c>
      <c r="E106" s="387">
        <f>E105/12</f>
        <v>26446.916666666668</v>
      </c>
      <c r="F106" s="372">
        <f>ROUND(F105/12,2)</f>
        <v>30657.17</v>
      </c>
      <c r="G106" s="383">
        <f>G105/12</f>
        <v>26623.75</v>
      </c>
      <c r="H106" s="390">
        <f>ROUND(H105/12,2)</f>
        <v>30862.17</v>
      </c>
      <c r="I106" s="387">
        <f>I105/12</f>
        <v>26879</v>
      </c>
      <c r="J106" s="372">
        <f>ROUND(J105/12,2)</f>
        <v>31158.080000000002</v>
      </c>
      <c r="K106" s="383">
        <f>K105/12</f>
        <v>27055.833333333332</v>
      </c>
      <c r="L106" s="390">
        <f>ROUND(L105/12,2)</f>
        <v>31363</v>
      </c>
      <c r="M106" s="395"/>
      <c r="N106" s="373"/>
      <c r="O106" s="375">
        <f>ROUND(O105/12,2)</f>
        <v>29732.5</v>
      </c>
    </row>
    <row r="107" spans="1:15" ht="16" thickBot="1">
      <c r="A107" s="2081"/>
      <c r="B107" s="381" t="s">
        <v>226</v>
      </c>
      <c r="C107" s="188">
        <f>C105/12</f>
        <v>26191.5</v>
      </c>
      <c r="D107" s="189">
        <f>ROUND(D106/160.33,2)</f>
        <v>189.37</v>
      </c>
      <c r="E107" s="388"/>
      <c r="F107" s="189">
        <f t="shared" ref="F107:O107" si="34">ROUND(F106/160.33,2)</f>
        <v>191.21</v>
      </c>
      <c r="G107" s="189">
        <f t="shared" si="34"/>
        <v>166.06</v>
      </c>
      <c r="H107" s="189">
        <f t="shared" si="34"/>
        <v>192.49</v>
      </c>
      <c r="I107" s="189">
        <f t="shared" si="34"/>
        <v>167.65</v>
      </c>
      <c r="J107" s="189">
        <f t="shared" si="34"/>
        <v>194.34</v>
      </c>
      <c r="K107" s="189">
        <f t="shared" si="34"/>
        <v>168.75</v>
      </c>
      <c r="L107" s="189">
        <f t="shared" si="34"/>
        <v>195.62</v>
      </c>
      <c r="M107" s="189">
        <f t="shared" si="34"/>
        <v>0</v>
      </c>
      <c r="N107" s="189">
        <f t="shared" si="34"/>
        <v>0</v>
      </c>
      <c r="O107" s="189">
        <f t="shared" si="34"/>
        <v>185.45</v>
      </c>
    </row>
    <row r="108" spans="1:15">
      <c r="A108" s="2082">
        <v>35</v>
      </c>
      <c r="B108" s="194" t="s">
        <v>96</v>
      </c>
      <c r="C108" s="183">
        <v>319697</v>
      </c>
      <c r="D108" s="187">
        <f>ROUND((C108*(1+'Løntabel gældende fra'!$D$7%)),0)</f>
        <v>370592</v>
      </c>
      <c r="E108" s="185">
        <v>322450</v>
      </c>
      <c r="F108" s="186">
        <f>ROUND((E108*(1+'Løntabel gældende fra'!$D$7%)),0)</f>
        <v>373783</v>
      </c>
      <c r="G108" s="183">
        <v>324354</v>
      </c>
      <c r="H108" s="187">
        <f>ROUND((G108*(1+'Løntabel gældende fra'!$D$7%)),0)</f>
        <v>375990</v>
      </c>
      <c r="I108" s="185">
        <v>327107</v>
      </c>
      <c r="J108" s="186">
        <f>ROUND((I108*(1+'Løntabel gældende fra'!$D$7%)),0)</f>
        <v>379181</v>
      </c>
      <c r="K108" s="183">
        <v>329011</v>
      </c>
      <c r="L108" s="187">
        <f>ROUND((K108*(1+'Løntabel gældende fra'!$D$7%)),0)</f>
        <v>381389</v>
      </c>
      <c r="M108" s="397"/>
      <c r="N108" s="376">
        <v>313854.56</v>
      </c>
      <c r="O108" s="377">
        <f>ROUND(N108*(1+'Løntabel gældende fra'!$D$7%),2)</f>
        <v>363819.26</v>
      </c>
    </row>
    <row r="109" spans="1:15">
      <c r="A109" s="2080"/>
      <c r="B109" s="380" t="s">
        <v>231</v>
      </c>
      <c r="C109" s="383"/>
      <c r="D109" s="390">
        <f>ROUND(D108/12,2)</f>
        <v>30882.67</v>
      </c>
      <c r="E109" s="387">
        <f>E108/12</f>
        <v>26870.833333333332</v>
      </c>
      <c r="F109" s="372">
        <f>ROUND(F108/12,2)</f>
        <v>31148.58</v>
      </c>
      <c r="G109" s="383">
        <f>G108/12</f>
        <v>27029.5</v>
      </c>
      <c r="H109" s="390">
        <f>ROUND(H108/12,2)</f>
        <v>31332.5</v>
      </c>
      <c r="I109" s="387">
        <f>I108/12</f>
        <v>27258.916666666668</v>
      </c>
      <c r="J109" s="372">
        <f>ROUND(J108/12,2)</f>
        <v>31598.42</v>
      </c>
      <c r="K109" s="383">
        <f>K108/12</f>
        <v>27417.583333333332</v>
      </c>
      <c r="L109" s="390">
        <f>ROUND(L108/12,2)</f>
        <v>31782.42</v>
      </c>
      <c r="M109" s="395"/>
      <c r="N109" s="373"/>
      <c r="O109" s="375">
        <f>ROUND(O108/12,2)</f>
        <v>30318.27</v>
      </c>
    </row>
    <row r="110" spans="1:15" ht="16" thickBot="1">
      <c r="A110" s="2083"/>
      <c r="B110" s="382" t="s">
        <v>226</v>
      </c>
      <c r="C110" s="386">
        <f>C108/12</f>
        <v>26641.416666666668</v>
      </c>
      <c r="D110" s="189">
        <f>ROUND(D109/160.33,2)</f>
        <v>192.62</v>
      </c>
      <c r="E110" s="389"/>
      <c r="F110" s="189">
        <f t="shared" ref="F110:O110" si="35">ROUND(F109/160.33,2)</f>
        <v>194.28</v>
      </c>
      <c r="G110" s="189">
        <f t="shared" si="35"/>
        <v>168.59</v>
      </c>
      <c r="H110" s="189">
        <f t="shared" si="35"/>
        <v>195.43</v>
      </c>
      <c r="I110" s="189">
        <f t="shared" si="35"/>
        <v>170.02</v>
      </c>
      <c r="J110" s="189">
        <f t="shared" si="35"/>
        <v>197.08</v>
      </c>
      <c r="K110" s="189">
        <f t="shared" si="35"/>
        <v>171.01</v>
      </c>
      <c r="L110" s="189">
        <f t="shared" si="35"/>
        <v>198.23</v>
      </c>
      <c r="M110" s="189">
        <f t="shared" si="35"/>
        <v>0</v>
      </c>
      <c r="N110" s="189">
        <f t="shared" si="35"/>
        <v>0</v>
      </c>
      <c r="O110" s="189">
        <f t="shared" si="35"/>
        <v>189.1</v>
      </c>
    </row>
    <row r="111" spans="1:15">
      <c r="A111" s="2079">
        <v>36</v>
      </c>
      <c r="B111" s="195" t="s">
        <v>96</v>
      </c>
      <c r="C111" s="191">
        <v>325214</v>
      </c>
      <c r="D111" s="184">
        <f>ROUND((C111*(1+'Løntabel gældende fra'!$D$7%)),0)</f>
        <v>376987</v>
      </c>
      <c r="E111" s="192">
        <v>327634</v>
      </c>
      <c r="F111" s="193">
        <f>ROUND((E111*(1+'Løntabel gældende fra'!$D$7%)),0)</f>
        <v>379792</v>
      </c>
      <c r="G111" s="191">
        <v>329310</v>
      </c>
      <c r="H111" s="184">
        <f>ROUND((G111*(1+'Løntabel gældende fra'!$D$7%)),0)</f>
        <v>381735</v>
      </c>
      <c r="I111" s="192">
        <v>331731</v>
      </c>
      <c r="J111" s="193">
        <f>ROUND((I111*(1+'Løntabel gældende fra'!$D$7%)),0)</f>
        <v>384542</v>
      </c>
      <c r="K111" s="191">
        <v>333406</v>
      </c>
      <c r="L111" s="184">
        <f>ROUND((K111*(1+'Løntabel gældende fra'!$D$7%)),0)</f>
        <v>386483</v>
      </c>
      <c r="M111" s="396"/>
      <c r="N111" s="374">
        <v>320074.68</v>
      </c>
      <c r="O111" s="198">
        <f>ROUND(N111*(1+'Løntabel gældende fra'!$D$7%),2)</f>
        <v>371029.61</v>
      </c>
    </row>
    <row r="112" spans="1:15">
      <c r="A112" s="2080"/>
      <c r="B112" s="380" t="s">
        <v>231</v>
      </c>
      <c r="C112" s="383"/>
      <c r="D112" s="390">
        <f>ROUND(D111/12,2)</f>
        <v>31415.58</v>
      </c>
      <c r="E112" s="387">
        <f>E111/12</f>
        <v>27302.833333333332</v>
      </c>
      <c r="F112" s="372">
        <f>ROUND(F111/12,2)</f>
        <v>31649.33</v>
      </c>
      <c r="G112" s="383">
        <f>G111/12</f>
        <v>27442.5</v>
      </c>
      <c r="H112" s="390">
        <f>ROUND(H111/12,2)</f>
        <v>31811.25</v>
      </c>
      <c r="I112" s="387">
        <f>I111/12</f>
        <v>27644.25</v>
      </c>
      <c r="J112" s="372">
        <f>ROUND(J111/12,2)</f>
        <v>32045.17</v>
      </c>
      <c r="K112" s="383">
        <f>K111/12</f>
        <v>27783.833333333332</v>
      </c>
      <c r="L112" s="390">
        <f>ROUND(L111/12,2)</f>
        <v>32206.92</v>
      </c>
      <c r="M112" s="395"/>
      <c r="N112" s="373"/>
      <c r="O112" s="375">
        <f>ROUND(O111/12,2)</f>
        <v>30919.13</v>
      </c>
    </row>
    <row r="113" spans="1:15" ht="16" thickBot="1">
      <c r="A113" s="2081"/>
      <c r="B113" s="381" t="s">
        <v>226</v>
      </c>
      <c r="C113" s="188">
        <f>C111/12</f>
        <v>27101.166666666668</v>
      </c>
      <c r="D113" s="189">
        <f>ROUND(D112/160.33,2)</f>
        <v>195.94</v>
      </c>
      <c r="E113" s="388"/>
      <c r="F113" s="189">
        <f t="shared" ref="F113:O113" si="36">ROUND(F112/160.33,2)</f>
        <v>197.4</v>
      </c>
      <c r="G113" s="189">
        <f t="shared" si="36"/>
        <v>171.16</v>
      </c>
      <c r="H113" s="189">
        <f t="shared" si="36"/>
        <v>198.41</v>
      </c>
      <c r="I113" s="189">
        <f t="shared" si="36"/>
        <v>172.42</v>
      </c>
      <c r="J113" s="189">
        <f t="shared" si="36"/>
        <v>199.87</v>
      </c>
      <c r="K113" s="189">
        <f t="shared" si="36"/>
        <v>173.29</v>
      </c>
      <c r="L113" s="189">
        <f t="shared" si="36"/>
        <v>200.88</v>
      </c>
      <c r="M113" s="189">
        <f t="shared" si="36"/>
        <v>0</v>
      </c>
      <c r="N113" s="189">
        <f t="shared" si="36"/>
        <v>0</v>
      </c>
      <c r="O113" s="189">
        <f t="shared" si="36"/>
        <v>192.85</v>
      </c>
    </row>
    <row r="114" spans="1:15">
      <c r="A114" s="2082">
        <v>37</v>
      </c>
      <c r="B114" s="194" t="s">
        <v>96</v>
      </c>
      <c r="C114" s="183">
        <v>330853</v>
      </c>
      <c r="D114" s="187">
        <f>ROUND((C114*(1+'Løntabel gældende fra'!$D$7%)),0)</f>
        <v>383524</v>
      </c>
      <c r="E114" s="185">
        <v>332923</v>
      </c>
      <c r="F114" s="186">
        <f>ROUND((E114*(1+'Løntabel gældende fra'!$D$7%)),0)</f>
        <v>385923</v>
      </c>
      <c r="G114" s="183">
        <v>334355</v>
      </c>
      <c r="H114" s="187">
        <f>ROUND((G114*(1+'Løntabel gældende fra'!$D$7%)),0)</f>
        <v>387583</v>
      </c>
      <c r="I114" s="185">
        <v>336425</v>
      </c>
      <c r="J114" s="186">
        <f>ROUND((I114*(1+'Løntabel gældende fra'!$D$7%)),0)</f>
        <v>389983</v>
      </c>
      <c r="K114" s="183">
        <v>337859</v>
      </c>
      <c r="L114" s="187">
        <f>ROUND((K114*(1+'Løntabel gældende fra'!$D$7%)),0)</f>
        <v>391645</v>
      </c>
      <c r="M114" s="397"/>
      <c r="N114" s="376">
        <v>326457.34000000003</v>
      </c>
      <c r="O114" s="377">
        <f>ROUND(N114*(1+'Løntabel gældende fra'!$D$7%),2)</f>
        <v>378428.37</v>
      </c>
    </row>
    <row r="115" spans="1:15">
      <c r="A115" s="2080"/>
      <c r="B115" s="380" t="s">
        <v>231</v>
      </c>
      <c r="C115" s="383"/>
      <c r="D115" s="390">
        <f>ROUND(D114/12,2)</f>
        <v>31960.33</v>
      </c>
      <c r="E115" s="387">
        <f>E114/12</f>
        <v>27743.583333333332</v>
      </c>
      <c r="F115" s="372">
        <f>ROUND(F114/12,2)</f>
        <v>32160.25</v>
      </c>
      <c r="G115" s="383">
        <f>G114/12</f>
        <v>27862.916666666668</v>
      </c>
      <c r="H115" s="390">
        <f>ROUND(H114/12,2)</f>
        <v>32298.58</v>
      </c>
      <c r="I115" s="387">
        <f>I114/12</f>
        <v>28035.416666666668</v>
      </c>
      <c r="J115" s="372">
        <f>ROUND(J114/12,2)</f>
        <v>32498.58</v>
      </c>
      <c r="K115" s="383">
        <f>K114/12</f>
        <v>28154.916666666668</v>
      </c>
      <c r="L115" s="390">
        <f>ROUND(L114/12,2)</f>
        <v>32637.08</v>
      </c>
      <c r="M115" s="395"/>
      <c r="N115" s="373"/>
      <c r="O115" s="375">
        <f>ROUND(O114/12,2)</f>
        <v>31535.7</v>
      </c>
    </row>
    <row r="116" spans="1:15" ht="16" thickBot="1">
      <c r="A116" s="2083"/>
      <c r="B116" s="382" t="s">
        <v>226</v>
      </c>
      <c r="C116" s="386">
        <f>C114/12</f>
        <v>27571.083333333332</v>
      </c>
      <c r="D116" s="189">
        <f>ROUND(D115/160.33,2)</f>
        <v>199.34</v>
      </c>
      <c r="E116" s="389"/>
      <c r="F116" s="189">
        <f t="shared" ref="F116:O116" si="37">ROUND(F115/160.33,2)</f>
        <v>200.59</v>
      </c>
      <c r="G116" s="189">
        <f t="shared" si="37"/>
        <v>173.78</v>
      </c>
      <c r="H116" s="189">
        <f t="shared" si="37"/>
        <v>201.45</v>
      </c>
      <c r="I116" s="189">
        <f t="shared" si="37"/>
        <v>174.86</v>
      </c>
      <c r="J116" s="189">
        <f t="shared" si="37"/>
        <v>202.7</v>
      </c>
      <c r="K116" s="189">
        <f t="shared" si="37"/>
        <v>175.61</v>
      </c>
      <c r="L116" s="189">
        <f t="shared" si="37"/>
        <v>203.56</v>
      </c>
      <c r="M116" s="189">
        <f t="shared" si="37"/>
        <v>0</v>
      </c>
      <c r="N116" s="189">
        <f t="shared" si="37"/>
        <v>0</v>
      </c>
      <c r="O116" s="189">
        <f t="shared" si="37"/>
        <v>196.69</v>
      </c>
    </row>
    <row r="117" spans="1:15">
      <c r="A117" s="2079">
        <v>38</v>
      </c>
      <c r="B117" s="195" t="s">
        <v>96</v>
      </c>
      <c r="C117" s="191">
        <v>336808</v>
      </c>
      <c r="D117" s="184">
        <f>ROUND((C117*(1+'Løntabel gældende fra'!$D$7%)),0)</f>
        <v>390427</v>
      </c>
      <c r="E117" s="192">
        <v>338540</v>
      </c>
      <c r="F117" s="193">
        <f>ROUND((E117*(1+'Løntabel gældende fra'!$D$7%)),0)</f>
        <v>392435</v>
      </c>
      <c r="G117" s="191">
        <v>339739</v>
      </c>
      <c r="H117" s="184">
        <f>ROUND((G117*(1+'Løntabel gældende fra'!$D$7%)),0)</f>
        <v>393824</v>
      </c>
      <c r="I117" s="192">
        <v>341471</v>
      </c>
      <c r="J117" s="193">
        <f>ROUND((I117*(1+'Løntabel gældende fra'!$D$7%)),0)</f>
        <v>395832</v>
      </c>
      <c r="K117" s="191">
        <v>342672</v>
      </c>
      <c r="L117" s="184">
        <f>ROUND((K117*(1+'Løntabel gældende fra'!$D$7%)),0)</f>
        <v>397224</v>
      </c>
      <c r="M117" s="396"/>
      <c r="N117" s="374">
        <v>333128.88</v>
      </c>
      <c r="O117" s="198">
        <f>ROUND(N117*(1+'Løntabel gældende fra'!$D$7%),2)</f>
        <v>386162</v>
      </c>
    </row>
    <row r="118" spans="1:15">
      <c r="A118" s="2080"/>
      <c r="B118" s="380" t="s">
        <v>231</v>
      </c>
      <c r="C118" s="383"/>
      <c r="D118" s="390">
        <f>ROUND(D117/12,2)</f>
        <v>32535.58</v>
      </c>
      <c r="E118" s="387">
        <f>E117/12</f>
        <v>28211.666666666668</v>
      </c>
      <c r="F118" s="372">
        <f>ROUND(F117/12,2)</f>
        <v>32702.92</v>
      </c>
      <c r="G118" s="383">
        <f>G117/12</f>
        <v>28311.583333333332</v>
      </c>
      <c r="H118" s="390">
        <f>ROUND(H117/12,2)</f>
        <v>32818.67</v>
      </c>
      <c r="I118" s="387">
        <f>I117/12</f>
        <v>28455.916666666668</v>
      </c>
      <c r="J118" s="372">
        <f>ROUND(J117/12,2)</f>
        <v>32986</v>
      </c>
      <c r="K118" s="383">
        <f>K117/12</f>
        <v>28556</v>
      </c>
      <c r="L118" s="390">
        <f>ROUND(L117/12,2)</f>
        <v>33102</v>
      </c>
      <c r="M118" s="395"/>
      <c r="N118" s="373"/>
      <c r="O118" s="375">
        <f>ROUND(O117/12,2)</f>
        <v>32180.17</v>
      </c>
    </row>
    <row r="119" spans="1:15" ht="16" thickBot="1">
      <c r="A119" s="2081"/>
      <c r="B119" s="381" t="s">
        <v>226</v>
      </c>
      <c r="C119" s="188">
        <f>C117/12</f>
        <v>28067.333333333332</v>
      </c>
      <c r="D119" s="189">
        <f>ROUND(D118/160.33,2)</f>
        <v>202.93</v>
      </c>
      <c r="E119" s="388"/>
      <c r="F119" s="189">
        <f t="shared" ref="F119:O119" si="38">ROUND(F118/160.33,2)</f>
        <v>203.97</v>
      </c>
      <c r="G119" s="189">
        <f t="shared" si="38"/>
        <v>176.58</v>
      </c>
      <c r="H119" s="189">
        <f t="shared" si="38"/>
        <v>204.69</v>
      </c>
      <c r="I119" s="189">
        <f t="shared" si="38"/>
        <v>177.48</v>
      </c>
      <c r="J119" s="189">
        <f t="shared" si="38"/>
        <v>205.74</v>
      </c>
      <c r="K119" s="189">
        <f t="shared" si="38"/>
        <v>178.11</v>
      </c>
      <c r="L119" s="189">
        <f t="shared" si="38"/>
        <v>206.46</v>
      </c>
      <c r="M119" s="189">
        <f t="shared" si="38"/>
        <v>0</v>
      </c>
      <c r="N119" s="189">
        <f t="shared" si="38"/>
        <v>0</v>
      </c>
      <c r="O119" s="189">
        <f t="shared" si="38"/>
        <v>200.71</v>
      </c>
    </row>
    <row r="120" spans="1:15">
      <c r="A120" s="2082">
        <v>39</v>
      </c>
      <c r="B120" s="194" t="s">
        <v>96</v>
      </c>
      <c r="C120" s="183">
        <v>342821</v>
      </c>
      <c r="D120" s="187">
        <f>ROUND((C120*(1+'Løntabel gældende fra'!$D$7%)),0)</f>
        <v>397397</v>
      </c>
      <c r="E120" s="185">
        <v>344156</v>
      </c>
      <c r="F120" s="186">
        <f>ROUND((E120*(1+'Løntabel gældende fra'!$D$7%)),0)</f>
        <v>398945</v>
      </c>
      <c r="G120" s="183">
        <v>345080</v>
      </c>
      <c r="H120" s="187">
        <f>ROUND((G120*(1+'Løntabel gældende fra'!$D$7%)),0)</f>
        <v>400016</v>
      </c>
      <c r="I120" s="185">
        <v>346413</v>
      </c>
      <c r="J120" s="186">
        <f>ROUND((I120*(1+'Løntabel gældende fra'!$D$7%)),0)</f>
        <v>401561</v>
      </c>
      <c r="K120" s="183">
        <v>347337</v>
      </c>
      <c r="L120" s="187">
        <f>ROUND((K120*(1+'Løntabel gældende fra'!$D$7%)),0)</f>
        <v>402632</v>
      </c>
      <c r="M120" s="397"/>
      <c r="N120" s="376">
        <v>339989.41</v>
      </c>
      <c r="O120" s="377">
        <f>ROUND(N120*(1+'Løntabel gældende fra'!$D$7%),2)</f>
        <v>394114.7</v>
      </c>
    </row>
    <row r="121" spans="1:15">
      <c r="A121" s="2080"/>
      <c r="B121" s="380" t="s">
        <v>231</v>
      </c>
      <c r="C121" s="383"/>
      <c r="D121" s="390">
        <f>ROUND(D120/12,2)</f>
        <v>33116.42</v>
      </c>
      <c r="E121" s="387">
        <f>E120/12</f>
        <v>28679.666666666668</v>
      </c>
      <c r="F121" s="372">
        <f>ROUND(F120/12,2)</f>
        <v>33245.42</v>
      </c>
      <c r="G121" s="383">
        <f>G120/12</f>
        <v>28756.666666666668</v>
      </c>
      <c r="H121" s="390">
        <f>ROUND(H120/12,2)</f>
        <v>33334.67</v>
      </c>
      <c r="I121" s="387">
        <f>I120/12</f>
        <v>28867.75</v>
      </c>
      <c r="J121" s="372">
        <f>ROUND(J120/12,2)</f>
        <v>33463.42</v>
      </c>
      <c r="K121" s="383">
        <f>K120/12</f>
        <v>28944.75</v>
      </c>
      <c r="L121" s="390">
        <f>ROUND(L120/12,2)</f>
        <v>33552.67</v>
      </c>
      <c r="M121" s="395"/>
      <c r="N121" s="373"/>
      <c r="O121" s="375">
        <f>ROUND(O120/12,2)</f>
        <v>32842.89</v>
      </c>
    </row>
    <row r="122" spans="1:15" ht="16" thickBot="1">
      <c r="A122" s="2083"/>
      <c r="B122" s="382" t="s">
        <v>226</v>
      </c>
      <c r="C122" s="386">
        <f>C120/12</f>
        <v>28568.416666666668</v>
      </c>
      <c r="D122" s="189">
        <f>ROUND(D121/160.33,2)</f>
        <v>206.55</v>
      </c>
      <c r="E122" s="389"/>
      <c r="F122" s="189">
        <f t="shared" ref="F122:O122" si="39">ROUND(F121/160.33,2)</f>
        <v>207.36</v>
      </c>
      <c r="G122" s="189">
        <f t="shared" si="39"/>
        <v>179.36</v>
      </c>
      <c r="H122" s="189">
        <f t="shared" si="39"/>
        <v>207.91</v>
      </c>
      <c r="I122" s="189">
        <f t="shared" si="39"/>
        <v>180.05</v>
      </c>
      <c r="J122" s="189">
        <f t="shared" si="39"/>
        <v>208.72</v>
      </c>
      <c r="K122" s="189">
        <f t="shared" si="39"/>
        <v>180.53</v>
      </c>
      <c r="L122" s="189">
        <f t="shared" si="39"/>
        <v>209.27</v>
      </c>
      <c r="M122" s="189">
        <f t="shared" si="39"/>
        <v>0</v>
      </c>
      <c r="N122" s="189">
        <f t="shared" si="39"/>
        <v>0</v>
      </c>
      <c r="O122" s="189">
        <f t="shared" si="39"/>
        <v>204.85</v>
      </c>
    </row>
    <row r="123" spans="1:15">
      <c r="A123" s="2079">
        <v>40</v>
      </c>
      <c r="B123" s="195" t="s">
        <v>96</v>
      </c>
      <c r="C123" s="191">
        <v>348966</v>
      </c>
      <c r="D123" s="184">
        <f>ROUND((C123*(1+'Løntabel gældende fra'!$D$7%)),0)</f>
        <v>404520</v>
      </c>
      <c r="E123" s="192">
        <v>349878</v>
      </c>
      <c r="F123" s="193">
        <f>ROUND((E123*(1+'Løntabel gældende fra'!$D$7%)),0)</f>
        <v>405578</v>
      </c>
      <c r="G123" s="191">
        <v>350510</v>
      </c>
      <c r="H123" s="184">
        <f>ROUND((G123*(1+'Løntabel gældende fra'!$D$7%)),0)</f>
        <v>406310</v>
      </c>
      <c r="I123" s="192">
        <v>351422</v>
      </c>
      <c r="J123" s="193">
        <f>ROUND((I123*(1+'Løntabel gældende fra'!$D$7%)),0)</f>
        <v>407367</v>
      </c>
      <c r="K123" s="191">
        <v>352054</v>
      </c>
      <c r="L123" s="184">
        <f>ROUND((K123*(1+'Løntabel gældende fra'!$D$7%)),0)</f>
        <v>408100</v>
      </c>
      <c r="M123" s="396"/>
      <c r="N123" s="374">
        <v>347027.46</v>
      </c>
      <c r="O123" s="198">
        <f>ROUND(N123*(1+'Løntabel gældende fra'!$D$7%),2)</f>
        <v>402273.19</v>
      </c>
    </row>
    <row r="124" spans="1:15">
      <c r="A124" s="2080"/>
      <c r="B124" s="380" t="s">
        <v>231</v>
      </c>
      <c r="C124" s="383"/>
      <c r="D124" s="390">
        <f>ROUND(D123/12,2)</f>
        <v>33710</v>
      </c>
      <c r="E124" s="387">
        <f>E123/12</f>
        <v>29156.5</v>
      </c>
      <c r="F124" s="372">
        <f>ROUND(F123/12,2)</f>
        <v>33798.17</v>
      </c>
      <c r="G124" s="383">
        <f>G123/12</f>
        <v>29209.166666666668</v>
      </c>
      <c r="H124" s="390">
        <f>ROUND(H123/12,2)</f>
        <v>33859.17</v>
      </c>
      <c r="I124" s="387">
        <f>I123/12</f>
        <v>29285.166666666668</v>
      </c>
      <c r="J124" s="372">
        <f>ROUND(J123/12,2)</f>
        <v>33947.25</v>
      </c>
      <c r="K124" s="383">
        <f>K123/12</f>
        <v>29337.833333333332</v>
      </c>
      <c r="L124" s="390">
        <f>ROUND(L123/12,2)</f>
        <v>34008.33</v>
      </c>
      <c r="M124" s="395"/>
      <c r="N124" s="373"/>
      <c r="O124" s="375">
        <f>ROUND(O123/12,2)</f>
        <v>33522.769999999997</v>
      </c>
    </row>
    <row r="125" spans="1:15" ht="16" thickBot="1">
      <c r="A125" s="2081"/>
      <c r="B125" s="381" t="s">
        <v>226</v>
      </c>
      <c r="C125" s="188">
        <f>C123/12</f>
        <v>29080.5</v>
      </c>
      <c r="D125" s="189">
        <f>ROUND(D124/160.33,2)</f>
        <v>210.25</v>
      </c>
      <c r="E125" s="388"/>
      <c r="F125" s="189">
        <f t="shared" ref="F125:O125" si="40">ROUND(F124/160.33,2)</f>
        <v>210.8</v>
      </c>
      <c r="G125" s="189">
        <f t="shared" si="40"/>
        <v>182.18</v>
      </c>
      <c r="H125" s="189">
        <f t="shared" si="40"/>
        <v>211.18</v>
      </c>
      <c r="I125" s="189">
        <f t="shared" si="40"/>
        <v>182.66</v>
      </c>
      <c r="J125" s="189">
        <f t="shared" si="40"/>
        <v>211.73</v>
      </c>
      <c r="K125" s="189">
        <f t="shared" si="40"/>
        <v>182.98</v>
      </c>
      <c r="L125" s="189">
        <f t="shared" si="40"/>
        <v>212.11</v>
      </c>
      <c r="M125" s="189">
        <f t="shared" si="40"/>
        <v>0</v>
      </c>
      <c r="N125" s="189">
        <f t="shared" si="40"/>
        <v>0</v>
      </c>
      <c r="O125" s="189">
        <f t="shared" si="40"/>
        <v>209.09</v>
      </c>
    </row>
    <row r="126" spans="1:15">
      <c r="A126" s="2082">
        <v>41</v>
      </c>
      <c r="B126" s="194" t="s">
        <v>96</v>
      </c>
      <c r="C126" s="183">
        <v>355245</v>
      </c>
      <c r="D126" s="187">
        <f>ROUND((C126*(1+'Løntabel gældende fra'!$D$7%)),0)</f>
        <v>411799</v>
      </c>
      <c r="E126" s="185">
        <v>355712</v>
      </c>
      <c r="F126" s="186">
        <f>ROUND((E126*(1+'Løntabel gældende fra'!$D$7%)),0)</f>
        <v>412340</v>
      </c>
      <c r="G126" s="183">
        <v>356037</v>
      </c>
      <c r="H126" s="187">
        <f>ROUND((G126*(1+'Løntabel gældende fra'!$D$7%)),0)</f>
        <v>412717</v>
      </c>
      <c r="I126" s="185">
        <v>356505</v>
      </c>
      <c r="J126" s="186">
        <f>ROUND((I126*(1+'Løntabel gældende fra'!$D$7%)),0)</f>
        <v>413260</v>
      </c>
      <c r="K126" s="183">
        <v>356828</v>
      </c>
      <c r="L126" s="187">
        <f>ROUND((K126*(1+'Løntabel gældende fra'!$D$7%)),0)</f>
        <v>413634</v>
      </c>
      <c r="M126" s="397"/>
      <c r="N126" s="376">
        <v>354249.23</v>
      </c>
      <c r="O126" s="377">
        <f>ROUND(N126*(1+'Løntabel gældende fra'!$D$7%),2)</f>
        <v>410644.64</v>
      </c>
    </row>
    <row r="127" spans="1:15">
      <c r="A127" s="2080"/>
      <c r="B127" s="380" t="s">
        <v>231</v>
      </c>
      <c r="C127" s="383"/>
      <c r="D127" s="390">
        <f>ROUND(D126/12,2)</f>
        <v>34316.58</v>
      </c>
      <c r="E127" s="387">
        <f>E126/12</f>
        <v>29642.666666666668</v>
      </c>
      <c r="F127" s="372">
        <f>ROUND(F126/12,2)</f>
        <v>34361.67</v>
      </c>
      <c r="G127" s="383">
        <f>G126/12</f>
        <v>29669.75</v>
      </c>
      <c r="H127" s="390">
        <f>ROUND(H126/12,2)</f>
        <v>34393.08</v>
      </c>
      <c r="I127" s="387">
        <f>I126/12</f>
        <v>29708.75</v>
      </c>
      <c r="J127" s="372">
        <f>ROUND(J126/12,2)</f>
        <v>34438.33</v>
      </c>
      <c r="K127" s="383">
        <f>K126/12</f>
        <v>29735.666666666668</v>
      </c>
      <c r="L127" s="390">
        <f>ROUND(L126/12,2)</f>
        <v>34469.5</v>
      </c>
      <c r="M127" s="395"/>
      <c r="N127" s="373"/>
      <c r="O127" s="375">
        <f>ROUND(O126/12,2)</f>
        <v>34220.39</v>
      </c>
    </row>
    <row r="128" spans="1:15" ht="16" thickBot="1">
      <c r="A128" s="2083"/>
      <c r="B128" s="382" t="s">
        <v>226</v>
      </c>
      <c r="C128" s="386">
        <f>C126/12</f>
        <v>29603.75</v>
      </c>
      <c r="D128" s="189">
        <f>ROUND(D127/160.33,2)</f>
        <v>214.04</v>
      </c>
      <c r="E128" s="389"/>
      <c r="F128" s="189">
        <f t="shared" ref="F128:O128" si="41">ROUND(F127/160.33,2)</f>
        <v>214.32</v>
      </c>
      <c r="G128" s="189">
        <f t="shared" si="41"/>
        <v>185.05</v>
      </c>
      <c r="H128" s="189">
        <f t="shared" si="41"/>
        <v>214.51</v>
      </c>
      <c r="I128" s="189">
        <f t="shared" si="41"/>
        <v>185.3</v>
      </c>
      <c r="J128" s="189">
        <f t="shared" si="41"/>
        <v>214.8</v>
      </c>
      <c r="K128" s="189">
        <f t="shared" si="41"/>
        <v>185.47</v>
      </c>
      <c r="L128" s="189">
        <f t="shared" si="41"/>
        <v>214.99</v>
      </c>
      <c r="M128" s="189">
        <f t="shared" si="41"/>
        <v>0</v>
      </c>
      <c r="N128" s="189">
        <f t="shared" si="41"/>
        <v>0</v>
      </c>
      <c r="O128" s="189">
        <f t="shared" si="41"/>
        <v>213.44</v>
      </c>
    </row>
    <row r="129" spans="1:15">
      <c r="A129" s="2079">
        <v>42</v>
      </c>
      <c r="B129" s="195" t="s">
        <v>96</v>
      </c>
      <c r="C129" s="191">
        <v>361660</v>
      </c>
      <c r="D129" s="184">
        <f>ROUND((C129*(1+'Løntabel gældende fra'!$D$7%)),0)</f>
        <v>419235</v>
      </c>
      <c r="E129" s="192">
        <v>361660</v>
      </c>
      <c r="F129" s="193">
        <f>ROUND((E129*(1+'Løntabel gældende fra'!$D$7%)),0)</f>
        <v>419235</v>
      </c>
      <c r="G129" s="191">
        <v>361660</v>
      </c>
      <c r="H129" s="184">
        <f>ROUND((G129*(1+'Løntabel gældende fra'!$D$7%)),0)</f>
        <v>419235</v>
      </c>
      <c r="I129" s="192">
        <v>361660</v>
      </c>
      <c r="J129" s="193">
        <f>ROUND((I129*(1+'Løntabel gældende fra'!$D$7%)),0)</f>
        <v>419235</v>
      </c>
      <c r="K129" s="191">
        <v>361660</v>
      </c>
      <c r="L129" s="184">
        <f>ROUND((K129*(1+'Løntabel gældende fra'!$D$7%)),0)</f>
        <v>419235</v>
      </c>
      <c r="M129" s="396"/>
      <c r="N129" s="374">
        <v>361659.2</v>
      </c>
      <c r="O129" s="198">
        <f>ROUND(N129*(1+'Løntabel gældende fra'!$D$7%),2)</f>
        <v>419234.26</v>
      </c>
    </row>
    <row r="130" spans="1:15">
      <c r="A130" s="2080"/>
      <c r="B130" s="380" t="s">
        <v>231</v>
      </c>
      <c r="C130" s="383"/>
      <c r="D130" s="390">
        <f>ROUND(D129/12,2)</f>
        <v>34936.25</v>
      </c>
      <c r="E130" s="387">
        <f>E129/12</f>
        <v>30138.333333333332</v>
      </c>
      <c r="F130" s="372">
        <f>ROUND(F129/12,2)</f>
        <v>34936.25</v>
      </c>
      <c r="G130" s="383">
        <f>G129/12</f>
        <v>30138.333333333332</v>
      </c>
      <c r="H130" s="390">
        <f>ROUND(H129/12,2)</f>
        <v>34936.25</v>
      </c>
      <c r="I130" s="387">
        <f>I129/12</f>
        <v>30138.333333333332</v>
      </c>
      <c r="J130" s="372">
        <f>ROUND(J129/12,2)</f>
        <v>34936.25</v>
      </c>
      <c r="K130" s="383">
        <f>K129/12</f>
        <v>30138.333333333332</v>
      </c>
      <c r="L130" s="390">
        <f>ROUND(L129/12,2)</f>
        <v>34936.25</v>
      </c>
      <c r="M130" s="395"/>
      <c r="N130" s="373"/>
      <c r="O130" s="375">
        <f>ROUND(O129/12,2)</f>
        <v>34936.19</v>
      </c>
    </row>
    <row r="131" spans="1:15" ht="16" thickBot="1">
      <c r="A131" s="2081"/>
      <c r="B131" s="381" t="s">
        <v>226</v>
      </c>
      <c r="C131" s="188">
        <f>C129/12</f>
        <v>30138.333333333332</v>
      </c>
      <c r="D131" s="189">
        <f>ROUND(D130/160.33,2)</f>
        <v>217.9</v>
      </c>
      <c r="E131" s="388"/>
      <c r="F131" s="189">
        <f t="shared" ref="F131:O131" si="42">ROUND(F130/160.33,2)</f>
        <v>217.9</v>
      </c>
      <c r="G131" s="189">
        <f t="shared" si="42"/>
        <v>187.98</v>
      </c>
      <c r="H131" s="189">
        <f t="shared" si="42"/>
        <v>217.9</v>
      </c>
      <c r="I131" s="189">
        <f t="shared" si="42"/>
        <v>187.98</v>
      </c>
      <c r="J131" s="189">
        <f t="shared" si="42"/>
        <v>217.9</v>
      </c>
      <c r="K131" s="189">
        <f t="shared" si="42"/>
        <v>187.98</v>
      </c>
      <c r="L131" s="189">
        <f t="shared" si="42"/>
        <v>217.9</v>
      </c>
      <c r="M131" s="189">
        <f t="shared" si="42"/>
        <v>0</v>
      </c>
      <c r="N131" s="189">
        <f t="shared" si="42"/>
        <v>0</v>
      </c>
      <c r="O131" s="189">
        <f t="shared" si="42"/>
        <v>217.9</v>
      </c>
    </row>
    <row r="132" spans="1:15">
      <c r="A132" s="2082">
        <v>43</v>
      </c>
      <c r="B132" s="194" t="s">
        <v>96</v>
      </c>
      <c r="C132" s="183">
        <v>369689</v>
      </c>
      <c r="D132" s="187">
        <f>ROUND((C132*(1+'Løntabel gældende fra'!$D$7%)),0)</f>
        <v>428542</v>
      </c>
      <c r="E132" s="185">
        <v>369689</v>
      </c>
      <c r="F132" s="186">
        <f>ROUND((E132*(1+'Løntabel gældende fra'!$D$7%)),0)</f>
        <v>428542</v>
      </c>
      <c r="G132" s="183">
        <v>369689</v>
      </c>
      <c r="H132" s="187">
        <f>ROUND((G132*(1+'Løntabel gældende fra'!$D$7%)),0)</f>
        <v>428542</v>
      </c>
      <c r="I132" s="185">
        <v>369689</v>
      </c>
      <c r="J132" s="186">
        <f>ROUND((I132*(1+'Løntabel gældende fra'!$D$7%)),0)</f>
        <v>428542</v>
      </c>
      <c r="K132" s="183">
        <v>369689</v>
      </c>
      <c r="L132" s="187">
        <f>ROUND((K132*(1+'Løntabel gældende fra'!$D$7%)),0)</f>
        <v>428542</v>
      </c>
      <c r="M132" s="397"/>
      <c r="N132" s="376">
        <v>369688.53</v>
      </c>
      <c r="O132" s="377">
        <f>ROUND(N132*(1+'Løntabel gældende fra'!$D$7%),2)</f>
        <v>428541.83</v>
      </c>
    </row>
    <row r="133" spans="1:15">
      <c r="A133" s="2080"/>
      <c r="B133" s="380" t="s">
        <v>231</v>
      </c>
      <c r="C133" s="383"/>
      <c r="D133" s="390">
        <f>ROUND(D132/12,2)</f>
        <v>35711.83</v>
      </c>
      <c r="E133" s="387">
        <f>E132/12</f>
        <v>30807.416666666668</v>
      </c>
      <c r="F133" s="372">
        <f>ROUND(F132/12,2)</f>
        <v>35711.83</v>
      </c>
      <c r="G133" s="383">
        <f>G132/12</f>
        <v>30807.416666666668</v>
      </c>
      <c r="H133" s="390">
        <f>ROUND(H132/12,2)</f>
        <v>35711.83</v>
      </c>
      <c r="I133" s="387">
        <f>I132/12</f>
        <v>30807.416666666668</v>
      </c>
      <c r="J133" s="372">
        <f>ROUND(J132/12,2)</f>
        <v>35711.83</v>
      </c>
      <c r="K133" s="383">
        <f>K132/12</f>
        <v>30807.416666666668</v>
      </c>
      <c r="L133" s="390">
        <f>ROUND(L132/12,2)</f>
        <v>35711.83</v>
      </c>
      <c r="M133" s="395"/>
      <c r="N133" s="373"/>
      <c r="O133" s="375">
        <f>ROUND(O132/12,2)</f>
        <v>35711.82</v>
      </c>
    </row>
    <row r="134" spans="1:15" ht="16" thickBot="1">
      <c r="A134" s="2083"/>
      <c r="B134" s="382" t="s">
        <v>226</v>
      </c>
      <c r="C134" s="386">
        <f>C132/12</f>
        <v>30807.416666666668</v>
      </c>
      <c r="D134" s="189">
        <f>ROUND(D133/160.33,2)</f>
        <v>222.74</v>
      </c>
      <c r="E134" s="389"/>
      <c r="F134" s="189">
        <f t="shared" ref="F134:O134" si="43">ROUND(F133/160.33,2)</f>
        <v>222.74</v>
      </c>
      <c r="G134" s="189">
        <f t="shared" si="43"/>
        <v>192.15</v>
      </c>
      <c r="H134" s="189">
        <f t="shared" si="43"/>
        <v>222.74</v>
      </c>
      <c r="I134" s="189">
        <f t="shared" si="43"/>
        <v>192.15</v>
      </c>
      <c r="J134" s="189">
        <f t="shared" si="43"/>
        <v>222.74</v>
      </c>
      <c r="K134" s="189">
        <f t="shared" si="43"/>
        <v>192.15</v>
      </c>
      <c r="L134" s="189">
        <f t="shared" si="43"/>
        <v>222.74</v>
      </c>
      <c r="M134" s="189">
        <f t="shared" si="43"/>
        <v>0</v>
      </c>
      <c r="N134" s="189">
        <f t="shared" si="43"/>
        <v>0</v>
      </c>
      <c r="O134" s="189">
        <f t="shared" si="43"/>
        <v>222.74</v>
      </c>
    </row>
    <row r="135" spans="1:15">
      <c r="A135" s="2079">
        <v>44</v>
      </c>
      <c r="B135" s="195" t="s">
        <v>96</v>
      </c>
      <c r="C135" s="191">
        <v>377937</v>
      </c>
      <c r="D135" s="184">
        <f>ROUND((C135*(1+'Løntabel gældende fra'!$D$7%)),0)</f>
        <v>438103</v>
      </c>
      <c r="E135" s="192">
        <v>377937</v>
      </c>
      <c r="F135" s="193">
        <f>ROUND((E135*(1+'Løntabel gældende fra'!$D$7%)),0)</f>
        <v>438103</v>
      </c>
      <c r="G135" s="191">
        <v>377937</v>
      </c>
      <c r="H135" s="184">
        <f>ROUND((G135*(1+'Løntabel gældende fra'!$D$7%)),0)</f>
        <v>438103</v>
      </c>
      <c r="I135" s="192">
        <v>377937</v>
      </c>
      <c r="J135" s="193">
        <f>ROUND((I135*(1+'Løntabel gældende fra'!$D$7%)),0)</f>
        <v>438103</v>
      </c>
      <c r="K135" s="191">
        <v>377937</v>
      </c>
      <c r="L135" s="184">
        <f>ROUND((K135*(1+'Løntabel gældende fra'!$D$7%)),0)</f>
        <v>438103</v>
      </c>
      <c r="M135" s="396"/>
      <c r="N135" s="374">
        <v>377937.3</v>
      </c>
      <c r="O135" s="198">
        <f>ROUND(N135*(1+'Løntabel gældende fra'!$D$7%),2)</f>
        <v>438103.78</v>
      </c>
    </row>
    <row r="136" spans="1:15">
      <c r="A136" s="2080"/>
      <c r="B136" s="380" t="s">
        <v>231</v>
      </c>
      <c r="C136" s="383"/>
      <c r="D136" s="390">
        <f>ROUND(D135/12,2)</f>
        <v>36508.58</v>
      </c>
      <c r="E136" s="387">
        <f>E135/12</f>
        <v>31494.75</v>
      </c>
      <c r="F136" s="372">
        <f>ROUND(F135/12,2)</f>
        <v>36508.58</v>
      </c>
      <c r="G136" s="383">
        <f>G135/12</f>
        <v>31494.75</v>
      </c>
      <c r="H136" s="390">
        <f>ROUND(H135/12,2)</f>
        <v>36508.58</v>
      </c>
      <c r="I136" s="387">
        <f>I135/12</f>
        <v>31494.75</v>
      </c>
      <c r="J136" s="372">
        <f>ROUND(J135/12,2)</f>
        <v>36508.58</v>
      </c>
      <c r="K136" s="383">
        <f>K135/12</f>
        <v>31494.75</v>
      </c>
      <c r="L136" s="390">
        <f>ROUND(L135/12,2)</f>
        <v>36508.58</v>
      </c>
      <c r="M136" s="395"/>
      <c r="N136" s="373"/>
      <c r="O136" s="375">
        <f>ROUND(O135/12,2)</f>
        <v>36508.65</v>
      </c>
    </row>
    <row r="137" spans="1:15" ht="16" thickBot="1">
      <c r="A137" s="2081"/>
      <c r="B137" s="381" t="s">
        <v>226</v>
      </c>
      <c r="C137" s="188">
        <f>C135/12</f>
        <v>31494.75</v>
      </c>
      <c r="D137" s="189">
        <f>ROUND(D136/160.33,2)</f>
        <v>227.71</v>
      </c>
      <c r="E137" s="388"/>
      <c r="F137" s="189">
        <f t="shared" ref="F137:O137" si="44">ROUND(F136/160.33,2)</f>
        <v>227.71</v>
      </c>
      <c r="G137" s="189">
        <f t="shared" si="44"/>
        <v>196.44</v>
      </c>
      <c r="H137" s="189">
        <f t="shared" si="44"/>
        <v>227.71</v>
      </c>
      <c r="I137" s="189">
        <f t="shared" si="44"/>
        <v>196.44</v>
      </c>
      <c r="J137" s="189">
        <f t="shared" si="44"/>
        <v>227.71</v>
      </c>
      <c r="K137" s="189">
        <f t="shared" si="44"/>
        <v>196.44</v>
      </c>
      <c r="L137" s="189">
        <f t="shared" si="44"/>
        <v>227.71</v>
      </c>
      <c r="M137" s="189">
        <f t="shared" si="44"/>
        <v>0</v>
      </c>
      <c r="N137" s="189">
        <f t="shared" si="44"/>
        <v>0</v>
      </c>
      <c r="O137" s="189">
        <f t="shared" si="44"/>
        <v>227.71</v>
      </c>
    </row>
    <row r="138" spans="1:15">
      <c r="A138" s="2079">
        <v>45</v>
      </c>
      <c r="B138" s="195" t="s">
        <v>96</v>
      </c>
      <c r="C138" s="191">
        <v>386414</v>
      </c>
      <c r="D138" s="184">
        <f>ROUND((C138*(1+'Løntabel gældende fra'!$D$7%)),0)</f>
        <v>447930</v>
      </c>
      <c r="E138" s="192">
        <v>386414</v>
      </c>
      <c r="F138" s="193">
        <f>ROUND((E138*(1+'Løntabel gældende fra'!$D$7%)),0)</f>
        <v>447930</v>
      </c>
      <c r="G138" s="191">
        <v>386414</v>
      </c>
      <c r="H138" s="184">
        <f>ROUND((G138*(1+'Løntabel gældende fra'!$D$7%)),0)</f>
        <v>447930</v>
      </c>
      <c r="I138" s="192">
        <v>386414</v>
      </c>
      <c r="J138" s="193">
        <f>ROUND((I138*(1+'Løntabel gældende fra'!$D$7%)),0)</f>
        <v>447930</v>
      </c>
      <c r="K138" s="191">
        <v>386414</v>
      </c>
      <c r="L138" s="184">
        <f>ROUND((K138*(1+'Løntabel gældende fra'!$D$7%)),0)</f>
        <v>447930</v>
      </c>
      <c r="M138" s="396"/>
      <c r="N138" s="374">
        <v>386414.29</v>
      </c>
      <c r="O138" s="198">
        <f>ROUND(N138*(1+'Løntabel gældende fra'!$D$7%),2)</f>
        <v>447930.29</v>
      </c>
    </row>
    <row r="139" spans="1:15">
      <c r="A139" s="2080"/>
      <c r="B139" s="380" t="s">
        <v>231</v>
      </c>
      <c r="C139" s="383"/>
      <c r="D139" s="390">
        <f>ROUND(D138/12,2)</f>
        <v>37327.5</v>
      </c>
      <c r="E139" s="387">
        <f>E138/12</f>
        <v>32201.166666666668</v>
      </c>
      <c r="F139" s="372">
        <f>ROUND(F138/12,2)</f>
        <v>37327.5</v>
      </c>
      <c r="G139" s="383">
        <f>G138/12</f>
        <v>32201.166666666668</v>
      </c>
      <c r="H139" s="390">
        <f>ROUND(H138/12,2)</f>
        <v>37327.5</v>
      </c>
      <c r="I139" s="387">
        <f>I138/12</f>
        <v>32201.166666666668</v>
      </c>
      <c r="J139" s="372">
        <f>ROUND(J138/12,2)</f>
        <v>37327.5</v>
      </c>
      <c r="K139" s="383">
        <f>K138/12</f>
        <v>32201.166666666668</v>
      </c>
      <c r="L139" s="390">
        <f>ROUND(L138/12,2)</f>
        <v>37327.5</v>
      </c>
      <c r="M139" s="395"/>
      <c r="N139" s="373"/>
      <c r="O139" s="375">
        <f>ROUND(O138/12,2)</f>
        <v>37327.519999999997</v>
      </c>
    </row>
    <row r="140" spans="1:15" ht="16" thickBot="1">
      <c r="A140" s="2081"/>
      <c r="B140" s="381" t="s">
        <v>226</v>
      </c>
      <c r="C140" s="188">
        <f>C138/12</f>
        <v>32201.166666666668</v>
      </c>
      <c r="D140" s="189">
        <f>ROUND(D139/160.33,2)</f>
        <v>232.82</v>
      </c>
      <c r="E140" s="388"/>
      <c r="F140" s="189">
        <f t="shared" ref="F140:O140" si="45">ROUND(F139/160.33,2)</f>
        <v>232.82</v>
      </c>
      <c r="G140" s="189">
        <f t="shared" si="45"/>
        <v>200.84</v>
      </c>
      <c r="H140" s="189">
        <f t="shared" si="45"/>
        <v>232.82</v>
      </c>
      <c r="I140" s="189">
        <f t="shared" si="45"/>
        <v>200.84</v>
      </c>
      <c r="J140" s="189">
        <f t="shared" si="45"/>
        <v>232.82</v>
      </c>
      <c r="K140" s="189">
        <f t="shared" si="45"/>
        <v>200.84</v>
      </c>
      <c r="L140" s="189">
        <f t="shared" si="45"/>
        <v>232.82</v>
      </c>
      <c r="M140" s="189">
        <f t="shared" si="45"/>
        <v>0</v>
      </c>
      <c r="N140" s="189">
        <f t="shared" si="45"/>
        <v>0</v>
      </c>
      <c r="O140" s="189">
        <f t="shared" si="45"/>
        <v>232.82</v>
      </c>
    </row>
    <row r="141" spans="1:15">
      <c r="A141" s="2079">
        <v>46</v>
      </c>
      <c r="B141" s="195" t="s">
        <v>96</v>
      </c>
      <c r="C141" s="191">
        <v>395125</v>
      </c>
      <c r="D141" s="184">
        <f>ROUND((C141*(1+'Løntabel gældende fra'!$D$7%)),0)</f>
        <v>458028</v>
      </c>
      <c r="E141" s="192">
        <v>395125</v>
      </c>
      <c r="F141" s="193">
        <f>ROUND((E141*(1+'Løntabel gældende fra'!$D$7%)),0)</f>
        <v>458028</v>
      </c>
      <c r="G141" s="191">
        <v>395125</v>
      </c>
      <c r="H141" s="184">
        <f>ROUND((G141*(1+'Løntabel gældende fra'!$D$7%)),0)</f>
        <v>458028</v>
      </c>
      <c r="I141" s="192">
        <v>395125</v>
      </c>
      <c r="J141" s="193">
        <f>ROUND((I141*(1+'Løntabel gældende fra'!$D$7%)),0)</f>
        <v>458028</v>
      </c>
      <c r="K141" s="191">
        <v>395125</v>
      </c>
      <c r="L141" s="184">
        <f>ROUND((K141*(1+'Løntabel gældende fra'!$D$7%)),0)</f>
        <v>458028</v>
      </c>
      <c r="M141" s="396"/>
      <c r="N141" s="374">
        <v>395124.74</v>
      </c>
      <c r="O141" s="198">
        <f>ROUND(N141*(1+'Løntabel gældende fra'!$D$7%),2)</f>
        <v>458027.41</v>
      </c>
    </row>
    <row r="142" spans="1:15">
      <c r="A142" s="2080"/>
      <c r="B142" s="380" t="s">
        <v>97</v>
      </c>
      <c r="C142" s="383"/>
      <c r="D142" s="390">
        <f>ROUND(D141/12,2)</f>
        <v>38169</v>
      </c>
      <c r="E142" s="387">
        <f>E141/12</f>
        <v>32927.083333333336</v>
      </c>
      <c r="F142" s="372">
        <f>ROUND(F141/12,2)</f>
        <v>38169</v>
      </c>
      <c r="G142" s="383">
        <f>G141/12</f>
        <v>32927.083333333336</v>
      </c>
      <c r="H142" s="390">
        <f>ROUND(H141/12,2)</f>
        <v>38169</v>
      </c>
      <c r="I142" s="387">
        <f>I141/12</f>
        <v>32927.083333333336</v>
      </c>
      <c r="J142" s="372">
        <f>ROUND(J141/12,2)</f>
        <v>38169</v>
      </c>
      <c r="K142" s="383">
        <f>K141/12</f>
        <v>32927.083333333336</v>
      </c>
      <c r="L142" s="390">
        <f>ROUND(L141/12,2)</f>
        <v>38169</v>
      </c>
      <c r="M142" s="395"/>
      <c r="N142" s="373"/>
      <c r="O142" s="375">
        <f>ROUND(O141/12,2)</f>
        <v>38168.949999999997</v>
      </c>
    </row>
    <row r="143" spans="1:15" ht="16" thickBot="1">
      <c r="A143" s="2081"/>
      <c r="B143" s="381" t="s">
        <v>226</v>
      </c>
      <c r="C143" s="188">
        <f>C141/12</f>
        <v>32927.083333333336</v>
      </c>
      <c r="D143" s="189">
        <f>ROUND(D142/160.33,2)</f>
        <v>238.07</v>
      </c>
      <c r="E143" s="388"/>
      <c r="F143" s="189">
        <f t="shared" ref="F143:O143" si="46">ROUND(F142/160.33,2)</f>
        <v>238.07</v>
      </c>
      <c r="G143" s="189">
        <f t="shared" si="46"/>
        <v>205.37</v>
      </c>
      <c r="H143" s="189">
        <f t="shared" si="46"/>
        <v>238.07</v>
      </c>
      <c r="I143" s="189">
        <f t="shared" si="46"/>
        <v>205.37</v>
      </c>
      <c r="J143" s="189">
        <f t="shared" si="46"/>
        <v>238.07</v>
      </c>
      <c r="K143" s="189">
        <f t="shared" si="46"/>
        <v>205.37</v>
      </c>
      <c r="L143" s="189">
        <f t="shared" si="46"/>
        <v>238.07</v>
      </c>
      <c r="M143" s="189">
        <f t="shared" si="46"/>
        <v>0</v>
      </c>
      <c r="N143" s="189">
        <f t="shared" si="46"/>
        <v>0</v>
      </c>
      <c r="O143" s="189">
        <f t="shared" si="46"/>
        <v>238.06</v>
      </c>
    </row>
    <row r="144" spans="1:15">
      <c r="A144" s="2082">
        <v>47</v>
      </c>
      <c r="B144" s="194" t="s">
        <v>96</v>
      </c>
      <c r="C144" s="183">
        <v>413269</v>
      </c>
      <c r="D144" s="187">
        <f>ROUND((C144*(1+'Løntabel gældende fra'!$D$7%)),0)</f>
        <v>479060</v>
      </c>
      <c r="E144" s="185">
        <v>413269</v>
      </c>
      <c r="F144" s="186">
        <f>ROUND((E144*(1+'Løntabel gældende fra'!$D$7%)),0)</f>
        <v>479060</v>
      </c>
      <c r="G144" s="183">
        <v>413269</v>
      </c>
      <c r="H144" s="187">
        <f>ROUND((G144*(1+'Løntabel gældende fra'!$D$7%)),0)</f>
        <v>479060</v>
      </c>
      <c r="I144" s="185">
        <v>413269</v>
      </c>
      <c r="J144" s="186">
        <f>ROUND((I144*(1+'Løntabel gældende fra'!$D$7%)),0)</f>
        <v>479060</v>
      </c>
      <c r="K144" s="183">
        <v>413269</v>
      </c>
      <c r="L144" s="187">
        <f>ROUND((K144*(1+'Løntabel gældende fra'!$D$7%)),0)</f>
        <v>479060</v>
      </c>
      <c r="M144" s="397"/>
      <c r="N144" s="376">
        <v>413268.87</v>
      </c>
      <c r="O144" s="377">
        <f>ROUND(N144*(1+'Løntabel gældende fra'!$D$7%),2)</f>
        <v>479060.03</v>
      </c>
    </row>
    <row r="145" spans="1:15">
      <c r="A145" s="2080"/>
      <c r="B145" s="380" t="s">
        <v>231</v>
      </c>
      <c r="C145" s="383"/>
      <c r="D145" s="390">
        <f>ROUND(D144/12,2)</f>
        <v>39921.67</v>
      </c>
      <c r="E145" s="387">
        <f>E144/12</f>
        <v>34439.083333333336</v>
      </c>
      <c r="F145" s="372">
        <f>ROUND(F144/12,2)</f>
        <v>39921.67</v>
      </c>
      <c r="G145" s="383">
        <f>G144/12</f>
        <v>34439.083333333336</v>
      </c>
      <c r="H145" s="390">
        <f>ROUND(H144/12,2)</f>
        <v>39921.67</v>
      </c>
      <c r="I145" s="387">
        <f>I144/12</f>
        <v>34439.083333333336</v>
      </c>
      <c r="J145" s="372">
        <f>ROUND(J144/12,2)</f>
        <v>39921.67</v>
      </c>
      <c r="K145" s="383">
        <f>K144/12</f>
        <v>34439.083333333336</v>
      </c>
      <c r="L145" s="390">
        <f>ROUND(L144/12,2)</f>
        <v>39921.67</v>
      </c>
      <c r="M145" s="395"/>
      <c r="N145" s="373"/>
      <c r="O145" s="375">
        <f>ROUND(O144/12,2)</f>
        <v>39921.67</v>
      </c>
    </row>
    <row r="146" spans="1:15" ht="16" thickBot="1">
      <c r="A146" s="2083"/>
      <c r="B146" s="382" t="s">
        <v>226</v>
      </c>
      <c r="C146" s="386">
        <f>C144/12</f>
        <v>34439.083333333336</v>
      </c>
      <c r="D146" s="189">
        <f>ROUND(D145/160.33,2)</f>
        <v>249</v>
      </c>
      <c r="E146" s="389"/>
      <c r="F146" s="189">
        <f t="shared" ref="F146:O146" si="47">ROUND(F145/160.33,2)</f>
        <v>249</v>
      </c>
      <c r="G146" s="189">
        <f t="shared" si="47"/>
        <v>214.8</v>
      </c>
      <c r="H146" s="189">
        <f t="shared" si="47"/>
        <v>249</v>
      </c>
      <c r="I146" s="189">
        <f t="shared" si="47"/>
        <v>214.8</v>
      </c>
      <c r="J146" s="189">
        <f t="shared" si="47"/>
        <v>249</v>
      </c>
      <c r="K146" s="189">
        <f t="shared" si="47"/>
        <v>214.8</v>
      </c>
      <c r="L146" s="189">
        <f t="shared" si="47"/>
        <v>249</v>
      </c>
      <c r="M146" s="189">
        <f t="shared" si="47"/>
        <v>0</v>
      </c>
      <c r="N146" s="189">
        <f t="shared" si="47"/>
        <v>0</v>
      </c>
      <c r="O146" s="189">
        <f t="shared" si="47"/>
        <v>249</v>
      </c>
    </row>
    <row r="147" spans="1:15">
      <c r="A147" s="2079">
        <v>48</v>
      </c>
      <c r="B147" s="195" t="s">
        <v>96</v>
      </c>
      <c r="C147" s="191">
        <v>441027</v>
      </c>
      <c r="D147" s="184">
        <f>ROUND((C147*(1+'Løntabel gældende fra'!$D$7%)),0)</f>
        <v>511237</v>
      </c>
      <c r="E147" s="192">
        <v>441027</v>
      </c>
      <c r="F147" s="193">
        <f>ROUND((E147*(1+'Løntabel gældende fra'!$D$7%)),0)</f>
        <v>511237</v>
      </c>
      <c r="G147" s="191">
        <v>441027</v>
      </c>
      <c r="H147" s="184">
        <f>ROUND((G147*(1+'Løntabel gældende fra'!$D$7%)),0)</f>
        <v>511237</v>
      </c>
      <c r="I147" s="192">
        <v>441027</v>
      </c>
      <c r="J147" s="193">
        <f>ROUND((I147*(1+'Løntabel gældende fra'!$D$7%)),0)</f>
        <v>511237</v>
      </c>
      <c r="K147" s="191">
        <v>441027</v>
      </c>
      <c r="L147" s="184">
        <f>ROUND((K147*(1+'Løntabel gældende fra'!$D$7%)),0)</f>
        <v>511237</v>
      </c>
      <c r="M147" s="396"/>
      <c r="N147" s="374">
        <v>441025.75</v>
      </c>
      <c r="O147" s="198">
        <f>ROUND(N147*(1+'Løntabel gældende fra'!$D$7%),2)</f>
        <v>511235.73</v>
      </c>
    </row>
    <row r="148" spans="1:15">
      <c r="A148" s="2080"/>
      <c r="B148" s="380" t="s">
        <v>231</v>
      </c>
      <c r="C148" s="383"/>
      <c r="D148" s="390">
        <f>ROUND(D147/12,2)</f>
        <v>42603.08</v>
      </c>
      <c r="E148" s="387">
        <f>E147/12</f>
        <v>36752.25</v>
      </c>
      <c r="F148" s="372">
        <f>ROUND(F147/12,2)</f>
        <v>42603.08</v>
      </c>
      <c r="G148" s="383">
        <f>G147/12</f>
        <v>36752.25</v>
      </c>
      <c r="H148" s="390">
        <f>ROUND(H147/12,2)</f>
        <v>42603.08</v>
      </c>
      <c r="I148" s="387">
        <f>I147/12</f>
        <v>36752.25</v>
      </c>
      <c r="J148" s="372">
        <f>ROUND(J147/12,2)</f>
        <v>42603.08</v>
      </c>
      <c r="K148" s="383">
        <f>K147/12</f>
        <v>36752.25</v>
      </c>
      <c r="L148" s="390">
        <f>ROUND(L147/12,2)</f>
        <v>42603.08</v>
      </c>
      <c r="M148" s="395"/>
      <c r="N148" s="373"/>
      <c r="O148" s="375">
        <f>ROUND(O147/12,2)</f>
        <v>42602.98</v>
      </c>
    </row>
    <row r="149" spans="1:15" ht="16" thickBot="1">
      <c r="A149" s="2081"/>
      <c r="B149" s="381" t="s">
        <v>226</v>
      </c>
      <c r="C149" s="188">
        <f>C147/12</f>
        <v>36752.25</v>
      </c>
      <c r="D149" s="189">
        <f>ROUND(D148/160.33,2)</f>
        <v>265.72000000000003</v>
      </c>
      <c r="E149" s="388"/>
      <c r="F149" s="189">
        <f t="shared" ref="F149:O149" si="48">ROUND(F148/160.33,2)</f>
        <v>265.72000000000003</v>
      </c>
      <c r="G149" s="189">
        <f t="shared" si="48"/>
        <v>229.23</v>
      </c>
      <c r="H149" s="189">
        <f t="shared" si="48"/>
        <v>265.72000000000003</v>
      </c>
      <c r="I149" s="189">
        <f t="shared" si="48"/>
        <v>229.23</v>
      </c>
      <c r="J149" s="189">
        <f t="shared" si="48"/>
        <v>265.72000000000003</v>
      </c>
      <c r="K149" s="189">
        <f t="shared" si="48"/>
        <v>229.23</v>
      </c>
      <c r="L149" s="189">
        <f t="shared" si="48"/>
        <v>265.72000000000003</v>
      </c>
      <c r="M149" s="189">
        <f t="shared" si="48"/>
        <v>0</v>
      </c>
      <c r="N149" s="189">
        <f t="shared" si="48"/>
        <v>0</v>
      </c>
      <c r="O149" s="189">
        <f t="shared" si="48"/>
        <v>265.72000000000003</v>
      </c>
    </row>
    <row r="150" spans="1:15">
      <c r="A150" s="2082">
        <v>49</v>
      </c>
      <c r="B150" s="194" t="s">
        <v>96</v>
      </c>
      <c r="C150" s="183">
        <v>471781</v>
      </c>
      <c r="D150" s="187">
        <f>ROUND((C150*(1+'Løntabel gældende fra'!$D$7%)),0)</f>
        <v>546887</v>
      </c>
      <c r="E150" s="185">
        <v>471781</v>
      </c>
      <c r="F150" s="186">
        <f>ROUND((E150*(1+'Løntabel gældende fra'!$D$7%)),0)</f>
        <v>546887</v>
      </c>
      <c r="G150" s="183">
        <v>471781</v>
      </c>
      <c r="H150" s="187">
        <f>ROUND((G150*(1+'Løntabel gældende fra'!$D$7%)),0)</f>
        <v>546887</v>
      </c>
      <c r="I150" s="185">
        <v>471781</v>
      </c>
      <c r="J150" s="186">
        <f>ROUND((I150*(1+'Løntabel gældende fra'!$D$7%)),0)</f>
        <v>546887</v>
      </c>
      <c r="K150" s="183">
        <v>471781</v>
      </c>
      <c r="L150" s="187">
        <f>ROUND((K150*(1+'Løntabel gældende fra'!$D$7%)),0)</f>
        <v>546887</v>
      </c>
      <c r="M150" s="397"/>
      <c r="N150" s="376">
        <v>471780.9</v>
      </c>
      <c r="O150" s="377">
        <f>ROUND(N150*(1+'Løntabel gældende fra'!$D$7%),2)</f>
        <v>546887</v>
      </c>
    </row>
    <row r="151" spans="1:15">
      <c r="A151" s="2080"/>
      <c r="B151" s="380" t="s">
        <v>231</v>
      </c>
      <c r="C151" s="383"/>
      <c r="D151" s="390">
        <f>ROUND(D150/12,2)</f>
        <v>45573.919999999998</v>
      </c>
      <c r="E151" s="387">
        <f>E150/12</f>
        <v>39315.083333333336</v>
      </c>
      <c r="F151" s="372">
        <f>ROUND(F150/12,2)</f>
        <v>45573.919999999998</v>
      </c>
      <c r="G151" s="383">
        <f>G150/12</f>
        <v>39315.083333333336</v>
      </c>
      <c r="H151" s="390">
        <f>ROUND(H150/12,2)</f>
        <v>45573.919999999998</v>
      </c>
      <c r="I151" s="387">
        <f>I150/12</f>
        <v>39315.083333333336</v>
      </c>
      <c r="J151" s="372">
        <f>ROUND(J150/12,2)</f>
        <v>45573.919999999998</v>
      </c>
      <c r="K151" s="383">
        <f>K150/12</f>
        <v>39315.083333333336</v>
      </c>
      <c r="L151" s="390">
        <f>ROUND(L150/12,2)</f>
        <v>45573.919999999998</v>
      </c>
      <c r="M151" s="395"/>
      <c r="N151" s="373"/>
      <c r="O151" s="375">
        <f>ROUND(O150/12,2)</f>
        <v>45573.919999999998</v>
      </c>
    </row>
    <row r="152" spans="1:15" ht="16" thickBot="1">
      <c r="A152" s="2083"/>
      <c r="B152" s="382" t="s">
        <v>226</v>
      </c>
      <c r="C152" s="386">
        <f>C150/12</f>
        <v>39315.083333333336</v>
      </c>
      <c r="D152" s="189">
        <f>ROUND(D151/160.33,2)</f>
        <v>284.25</v>
      </c>
      <c r="E152" s="389"/>
      <c r="F152" s="189">
        <f t="shared" ref="F152:O152" si="49">ROUND(F151/160.33,2)</f>
        <v>284.25</v>
      </c>
      <c r="G152" s="189">
        <f t="shared" si="49"/>
        <v>245.21</v>
      </c>
      <c r="H152" s="189">
        <f t="shared" si="49"/>
        <v>284.25</v>
      </c>
      <c r="I152" s="189">
        <f t="shared" si="49"/>
        <v>245.21</v>
      </c>
      <c r="J152" s="189">
        <f t="shared" si="49"/>
        <v>284.25</v>
      </c>
      <c r="K152" s="189">
        <f t="shared" si="49"/>
        <v>245.21</v>
      </c>
      <c r="L152" s="189">
        <f t="shared" si="49"/>
        <v>284.25</v>
      </c>
      <c r="M152" s="189">
        <f t="shared" si="49"/>
        <v>0</v>
      </c>
      <c r="N152" s="189">
        <f t="shared" si="49"/>
        <v>0</v>
      </c>
      <c r="O152" s="189">
        <f t="shared" si="49"/>
        <v>284.25</v>
      </c>
    </row>
    <row r="153" spans="1:15">
      <c r="A153" s="2079">
        <v>50</v>
      </c>
      <c r="B153" s="195" t="s">
        <v>96</v>
      </c>
      <c r="C153" s="191">
        <v>521094</v>
      </c>
      <c r="D153" s="184">
        <f>ROUND((C153*(1+'Løntabel gældende fra'!$D$7%)),0)</f>
        <v>604051</v>
      </c>
      <c r="E153" s="192">
        <v>521094</v>
      </c>
      <c r="F153" s="193">
        <f>ROUND((E153*(1+'Løntabel gældende fra'!$D$7%)),0)</f>
        <v>604051</v>
      </c>
      <c r="G153" s="392">
        <v>521094</v>
      </c>
      <c r="H153" s="184">
        <f>ROUND((G153*(1+'Løntabel gældende fra'!$D$7%)),0)</f>
        <v>604051</v>
      </c>
      <c r="I153" s="393">
        <v>521094</v>
      </c>
      <c r="J153" s="193">
        <f>ROUND((I153*(1+'Løntabel gældende fra'!$D$7%)),0)</f>
        <v>604051</v>
      </c>
      <c r="K153" s="392">
        <v>521094</v>
      </c>
      <c r="L153" s="184">
        <f>ROUND((K153*(1+'Løntabel gældende fra'!$D$7%)),0)</f>
        <v>604051</v>
      </c>
      <c r="M153" s="396"/>
      <c r="N153" s="374">
        <v>521094.47</v>
      </c>
      <c r="O153" s="198">
        <f>ROUND(N153*(1+'Løntabel gældende fra'!$D$7%),2)</f>
        <v>604051.15</v>
      </c>
    </row>
    <row r="154" spans="1:15">
      <c r="A154" s="2080"/>
      <c r="B154" s="380" t="s">
        <v>231</v>
      </c>
      <c r="C154" s="383"/>
      <c r="D154" s="390">
        <f>ROUND(D153/12,2)</f>
        <v>50337.58</v>
      </c>
      <c r="E154" s="387">
        <f>E153/12</f>
        <v>43424.5</v>
      </c>
      <c r="F154" s="372">
        <f>ROUND(F153/12,2)</f>
        <v>50337.58</v>
      </c>
      <c r="G154" s="383">
        <f>G153/12</f>
        <v>43424.5</v>
      </c>
      <c r="H154" s="390">
        <f>ROUND(H153/12,2)</f>
        <v>50337.58</v>
      </c>
      <c r="I154" s="387">
        <f>I153/12</f>
        <v>43424.5</v>
      </c>
      <c r="J154" s="372">
        <f>ROUND(J153/12,2)</f>
        <v>50337.58</v>
      </c>
      <c r="K154" s="383">
        <f>K153/12</f>
        <v>43424.5</v>
      </c>
      <c r="L154" s="390">
        <f>ROUND(L153/12,2)</f>
        <v>50337.58</v>
      </c>
      <c r="M154" s="395"/>
      <c r="N154" s="373"/>
      <c r="O154" s="375">
        <f>ROUND(O153/12,2)</f>
        <v>50337.599999999999</v>
      </c>
    </row>
    <row r="155" spans="1:15" ht="16" thickBot="1">
      <c r="A155" s="2081"/>
      <c r="B155" s="381" t="s">
        <v>226</v>
      </c>
      <c r="C155" s="188">
        <f>C153/12</f>
        <v>43424.5</v>
      </c>
      <c r="D155" s="189">
        <f>ROUND(D154/160.33,2)</f>
        <v>313.95999999999998</v>
      </c>
      <c r="E155" s="388"/>
      <c r="F155" s="189">
        <f t="shared" ref="F155:O155" si="50">ROUND(F154/160.33,2)</f>
        <v>313.95999999999998</v>
      </c>
      <c r="G155" s="189">
        <f t="shared" si="50"/>
        <v>270.83999999999997</v>
      </c>
      <c r="H155" s="189">
        <f t="shared" si="50"/>
        <v>313.95999999999998</v>
      </c>
      <c r="I155" s="189">
        <f t="shared" si="50"/>
        <v>270.83999999999997</v>
      </c>
      <c r="J155" s="189">
        <f t="shared" si="50"/>
        <v>313.95999999999998</v>
      </c>
      <c r="K155" s="189">
        <f t="shared" si="50"/>
        <v>270.83999999999997</v>
      </c>
      <c r="L155" s="189">
        <f t="shared" si="50"/>
        <v>313.95999999999998</v>
      </c>
      <c r="M155" s="189">
        <f t="shared" si="50"/>
        <v>0</v>
      </c>
      <c r="N155" s="189">
        <f t="shared" si="50"/>
        <v>0</v>
      </c>
      <c r="O155" s="189">
        <f t="shared" si="50"/>
        <v>313.95999999999998</v>
      </c>
    </row>
    <row r="156" spans="1:15">
      <c r="A156" s="2082">
        <v>51</v>
      </c>
      <c r="B156" s="194" t="s">
        <v>96</v>
      </c>
      <c r="C156" s="183">
        <v>592911</v>
      </c>
      <c r="D156" s="187">
        <f>ROUND((C156*(1+'Løntabel gældende fra'!$D$7%)),0)</f>
        <v>687301</v>
      </c>
      <c r="E156" s="185">
        <v>592911</v>
      </c>
      <c r="F156" s="186">
        <f>ROUND((E156*(1+'Løntabel gældende fra'!$D$7%)),0)</f>
        <v>687301</v>
      </c>
      <c r="G156" s="196">
        <v>592911</v>
      </c>
      <c r="H156" s="187">
        <f>ROUND((G156*(1+'Løntabel gældende fra'!$D$7%)),0)</f>
        <v>687301</v>
      </c>
      <c r="I156" s="197">
        <v>592911</v>
      </c>
      <c r="J156" s="186">
        <f>ROUND((I156*(1+'Løntabel gældende fra'!$D$7%)),0)</f>
        <v>687301</v>
      </c>
      <c r="K156" s="196">
        <v>592911</v>
      </c>
      <c r="L156" s="187">
        <f>ROUND((K156*(1+'Løntabel gældende fra'!$D$7%)),0)</f>
        <v>687301</v>
      </c>
      <c r="M156" s="397"/>
      <c r="N156" s="376">
        <v>592911.94999999995</v>
      </c>
      <c r="O156" s="377">
        <f>ROUND(N156*(1+'Løntabel gældende fra'!$D$7%),2)</f>
        <v>687301.75</v>
      </c>
    </row>
    <row r="157" spans="1:15">
      <c r="A157" s="2080"/>
      <c r="B157" s="380" t="s">
        <v>97</v>
      </c>
      <c r="C157" s="383"/>
      <c r="D157" s="390">
        <f>ROUND(D156/12,2)</f>
        <v>57275.08</v>
      </c>
      <c r="E157" s="387">
        <f>E156/12</f>
        <v>49409.25</v>
      </c>
      <c r="F157" s="372">
        <f>ROUND(F156/12,2)</f>
        <v>57275.08</v>
      </c>
      <c r="G157" s="383">
        <f>G156/12</f>
        <v>49409.25</v>
      </c>
      <c r="H157" s="390">
        <f>ROUND(H156/12,2)</f>
        <v>57275.08</v>
      </c>
      <c r="I157" s="387">
        <f>I156/12</f>
        <v>49409.25</v>
      </c>
      <c r="J157" s="372">
        <f>ROUND(J156/12,2)</f>
        <v>57275.08</v>
      </c>
      <c r="K157" s="383">
        <f>K156/12</f>
        <v>49409.25</v>
      </c>
      <c r="L157" s="390">
        <f>ROUND(L156/12,2)</f>
        <v>57275.08</v>
      </c>
      <c r="M157" s="395"/>
      <c r="N157" s="373"/>
      <c r="O157" s="375">
        <f>ROUND(O156/12,2)</f>
        <v>57275.15</v>
      </c>
    </row>
    <row r="158" spans="1:15" ht="16" thickBot="1">
      <c r="A158" s="2081"/>
      <c r="B158" s="381" t="s">
        <v>226</v>
      </c>
      <c r="C158" s="188">
        <f>C156/12</f>
        <v>49409.25</v>
      </c>
      <c r="D158" s="189">
        <f>ROUND(D157/160.33,2)</f>
        <v>357.23</v>
      </c>
      <c r="E158" s="388"/>
      <c r="F158" s="189">
        <f t="shared" ref="F158:O158" si="51">ROUND(F157/160.33,2)</f>
        <v>357.23</v>
      </c>
      <c r="G158" s="189">
        <f t="shared" si="51"/>
        <v>308.17</v>
      </c>
      <c r="H158" s="189">
        <f t="shared" si="51"/>
        <v>357.23</v>
      </c>
      <c r="I158" s="189">
        <f t="shared" si="51"/>
        <v>308.17</v>
      </c>
      <c r="J158" s="189">
        <f t="shared" si="51"/>
        <v>357.23</v>
      </c>
      <c r="K158" s="189">
        <f t="shared" si="51"/>
        <v>308.17</v>
      </c>
      <c r="L158" s="189">
        <f t="shared" si="51"/>
        <v>357.23</v>
      </c>
      <c r="M158" s="189">
        <f t="shared" si="51"/>
        <v>0</v>
      </c>
      <c r="N158" s="189">
        <f t="shared" si="51"/>
        <v>0</v>
      </c>
      <c r="O158" s="189">
        <f t="shared" si="51"/>
        <v>357.23</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3"/>
  <sheetViews>
    <sheetView view="pageBreakPreview" zoomScale="125" zoomScaleNormal="125" zoomScalePageLayoutView="125" workbookViewId="0">
      <selection activeCell="D23" sqref="D23"/>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00" t="s">
        <v>548</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096" t="s">
        <v>29</v>
      </c>
      <c r="B7" s="2096"/>
      <c r="C7" s="589">
        <v>45200</v>
      </c>
      <c r="D7" s="28">
        <v>15.919700000000001</v>
      </c>
      <c r="E7" s="27" t="s">
        <v>33</v>
      </c>
      <c r="F7" s="27"/>
      <c r="G7" s="133">
        <v>45382</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097" t="s">
        <v>32</v>
      </c>
      <c r="D10" s="2097"/>
      <c r="E10" s="2097"/>
      <c r="F10" s="2097"/>
      <c r="G10" s="2097"/>
      <c r="H10" s="2"/>
      <c r="I10" s="2"/>
    </row>
    <row r="11" spans="1:9">
      <c r="A11" s="207">
        <v>40999</v>
      </c>
      <c r="B11" s="29">
        <v>1</v>
      </c>
      <c r="C11" s="2097"/>
      <c r="D11" s="2097"/>
      <c r="E11" s="2097"/>
      <c r="F11" s="2097"/>
      <c r="G11" s="2097"/>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717">
        <v>43191</v>
      </c>
      <c r="B19" s="718">
        <v>6.9683000000000002</v>
      </c>
      <c r="C19" s="20"/>
      <c r="D19" s="20"/>
      <c r="E19" s="20"/>
      <c r="F19" s="20"/>
      <c r="G19" s="20"/>
      <c r="H19" s="2"/>
      <c r="I19" s="2"/>
    </row>
    <row r="20" spans="1:12">
      <c r="A20" s="717">
        <v>43373</v>
      </c>
      <c r="B20" s="718">
        <v>7.4972000000000003</v>
      </c>
      <c r="C20" s="20"/>
      <c r="D20" s="20"/>
      <c r="E20" s="20"/>
      <c r="F20" s="20"/>
      <c r="G20" s="20"/>
      <c r="H20" s="2"/>
      <c r="I20" s="2"/>
    </row>
    <row r="21" spans="1:12">
      <c r="A21" s="717">
        <v>43556</v>
      </c>
      <c r="B21" s="718">
        <v>8.4910999999999994</v>
      </c>
      <c r="C21" s="20"/>
      <c r="D21" s="20"/>
      <c r="E21" s="20"/>
      <c r="F21" s="20"/>
      <c r="G21" s="20"/>
      <c r="H21" s="2"/>
      <c r="I21" s="2"/>
    </row>
    <row r="22" spans="1:12">
      <c r="A22" s="717">
        <v>43739</v>
      </c>
      <c r="B22" s="718">
        <v>9.4007000000000005</v>
      </c>
      <c r="C22" s="20"/>
      <c r="D22" s="20"/>
      <c r="E22" s="20"/>
      <c r="F22" s="20"/>
      <c r="G22" s="20"/>
      <c r="H22" s="2"/>
      <c r="I22" s="2"/>
    </row>
    <row r="23" spans="1:12">
      <c r="A23" s="717">
        <v>43922</v>
      </c>
      <c r="B23" s="718">
        <v>10.323600000000001</v>
      </c>
      <c r="C23" s="20"/>
      <c r="D23" s="20"/>
      <c r="E23" s="20"/>
      <c r="F23" s="20"/>
      <c r="G23" s="20"/>
      <c r="H23" s="2"/>
      <c r="I23" s="2"/>
    </row>
    <row r="24" spans="1:12">
      <c r="A24" s="717">
        <v>44228</v>
      </c>
      <c r="B24" s="718">
        <v>10.2211</v>
      </c>
      <c r="C24" s="20"/>
      <c r="D24" s="20"/>
      <c r="E24" s="20"/>
      <c r="F24" s="20"/>
      <c r="G24" s="20"/>
      <c r="H24" s="2"/>
      <c r="I24" s="2"/>
    </row>
    <row r="25" spans="1:12">
      <c r="A25" s="717">
        <v>44287</v>
      </c>
      <c r="B25" s="718">
        <v>11.1029</v>
      </c>
      <c r="C25" s="20"/>
      <c r="D25" s="20"/>
      <c r="E25" s="20"/>
      <c r="F25" s="20"/>
      <c r="G25" s="20"/>
      <c r="H25" s="2"/>
      <c r="I25" s="2"/>
    </row>
    <row r="26" spans="1:12">
      <c r="A26" s="717">
        <v>44470</v>
      </c>
      <c r="B26" s="718">
        <v>11.4336</v>
      </c>
      <c r="C26" s="20"/>
      <c r="D26" s="20"/>
      <c r="E26" s="20"/>
      <c r="F26" s="20"/>
      <c r="G26" s="20"/>
      <c r="H26" s="2"/>
      <c r="I26" s="2"/>
    </row>
    <row r="27" spans="1:12">
      <c r="A27" s="717">
        <v>44652</v>
      </c>
      <c r="B27" s="718">
        <v>13.410399999999999</v>
      </c>
      <c r="C27" s="20"/>
      <c r="D27" s="20"/>
      <c r="E27" s="20"/>
      <c r="F27" s="20"/>
      <c r="G27" s="20"/>
      <c r="H27" s="2"/>
      <c r="I27" s="2"/>
    </row>
    <row r="28" spans="1:12">
      <c r="A28" s="717">
        <v>44835</v>
      </c>
      <c r="B28" s="718">
        <v>13.741099999999999</v>
      </c>
      <c r="C28" s="20"/>
      <c r="D28" s="20"/>
      <c r="E28" s="20"/>
      <c r="F28" s="20"/>
      <c r="G28" s="20"/>
      <c r="H28" s="2"/>
      <c r="I28" s="2"/>
    </row>
    <row r="29" spans="1:12">
      <c r="A29" s="717">
        <v>45017</v>
      </c>
      <c r="B29" s="718">
        <v>15.533899999999999</v>
      </c>
      <c r="C29" s="20"/>
      <c r="D29" s="20"/>
      <c r="E29" s="20"/>
      <c r="F29" s="20"/>
      <c r="G29" s="20"/>
      <c r="H29" s="2"/>
      <c r="I29" s="2"/>
    </row>
    <row r="30" spans="1:12" ht="16" thickBot="1">
      <c r="A30" s="980">
        <v>45200</v>
      </c>
      <c r="B30" s="981">
        <v>15.919700000000001</v>
      </c>
      <c r="C30" s="20"/>
      <c r="D30" s="20"/>
      <c r="E30" s="20"/>
      <c r="F30" s="20"/>
      <c r="G30" s="20"/>
      <c r="H30" s="2"/>
      <c r="I30" s="2"/>
    </row>
    <row r="31" spans="1:12">
      <c r="A31" s="2100"/>
      <c r="B31" s="2101"/>
      <c r="C31" s="20"/>
      <c r="D31" s="20"/>
      <c r="E31" s="20"/>
      <c r="F31" s="20"/>
      <c r="G31" s="20"/>
      <c r="H31" s="2"/>
      <c r="I31" s="2"/>
    </row>
    <row r="32" spans="1:12">
      <c r="A32" s="2100"/>
      <c r="B32" s="2101"/>
      <c r="C32" s="20"/>
      <c r="D32" s="20"/>
      <c r="E32" s="20"/>
      <c r="F32" s="20"/>
      <c r="G32" s="20"/>
      <c r="H32" s="2"/>
      <c r="I32" s="2"/>
    </row>
    <row r="33" spans="1:9">
      <c r="A33" s="869"/>
      <c r="B33" s="7"/>
      <c r="C33" s="20"/>
      <c r="D33" s="20"/>
      <c r="E33" s="20"/>
      <c r="F33" s="20"/>
      <c r="G33" s="20"/>
      <c r="H33" s="2"/>
      <c r="I33"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24" sqref="B24"/>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53" t="s">
        <v>280</v>
      </c>
      <c r="B1" s="1059" t="s">
        <v>272</v>
      </c>
      <c r="C1" s="1059"/>
      <c r="D1" s="1059"/>
      <c r="E1" s="1059"/>
      <c r="F1" s="1059"/>
      <c r="G1" s="1059"/>
      <c r="H1" s="1059"/>
      <c r="I1" s="1060"/>
    </row>
    <row r="2" spans="1:9" ht="16" thickBot="1">
      <c r="A2" s="1054"/>
      <c r="B2" s="1061"/>
      <c r="C2" s="1061"/>
      <c r="D2" s="1061"/>
      <c r="E2" s="1061"/>
      <c r="F2" s="1061"/>
      <c r="G2" s="1061"/>
      <c r="H2" s="1061"/>
      <c r="I2" s="1062"/>
    </row>
    <row r="3" spans="1:9" ht="42" customHeight="1" thickBot="1">
      <c r="A3" s="1054"/>
      <c r="B3" s="1045" t="s">
        <v>283</v>
      </c>
      <c r="C3" s="1046"/>
      <c r="D3" s="1046"/>
      <c r="E3" s="1046"/>
      <c r="F3" s="1046"/>
      <c r="G3" s="1046"/>
      <c r="H3" s="1046"/>
      <c r="I3" s="1047"/>
    </row>
    <row r="4" spans="1:9" ht="15" customHeight="1">
      <c r="A4" s="1054"/>
      <c r="B4" s="488" t="s">
        <v>270</v>
      </c>
      <c r="C4" s="510" t="s">
        <v>255</v>
      </c>
      <c r="D4" s="511" t="s">
        <v>256</v>
      </c>
      <c r="E4" s="511" t="s">
        <v>257</v>
      </c>
      <c r="F4" s="510" t="s">
        <v>258</v>
      </c>
      <c r="G4" s="1037" t="s">
        <v>287</v>
      </c>
      <c r="H4" s="1037" t="s">
        <v>289</v>
      </c>
      <c r="I4" s="1039" t="s">
        <v>263</v>
      </c>
    </row>
    <row r="5" spans="1:9" ht="46" thickBot="1">
      <c r="A5" s="1054"/>
      <c r="B5" s="489" t="s">
        <v>269</v>
      </c>
      <c r="C5" s="512" t="s">
        <v>274</v>
      </c>
      <c r="D5" s="512" t="s">
        <v>275</v>
      </c>
      <c r="E5" s="512" t="s">
        <v>276</v>
      </c>
      <c r="F5" s="512" t="s">
        <v>277</v>
      </c>
      <c r="G5" s="1038"/>
      <c r="H5" s="1038"/>
      <c r="I5" s="1040"/>
    </row>
    <row r="6" spans="1:9">
      <c r="A6" s="1054"/>
      <c r="B6" s="397" t="s">
        <v>259</v>
      </c>
      <c r="C6" s="483" t="s">
        <v>260</v>
      </c>
      <c r="D6" s="483" t="s">
        <v>260</v>
      </c>
      <c r="E6" s="483" t="s">
        <v>260</v>
      </c>
      <c r="F6" s="483" t="s">
        <v>260</v>
      </c>
      <c r="G6" s="483" t="s">
        <v>265</v>
      </c>
      <c r="H6" s="483" t="s">
        <v>265</v>
      </c>
      <c r="I6" s="484" t="s">
        <v>265</v>
      </c>
    </row>
    <row r="7" spans="1:9">
      <c r="A7" s="1054"/>
      <c r="B7" s="395" t="s">
        <v>282</v>
      </c>
      <c r="C7" s="482" t="s">
        <v>260</v>
      </c>
      <c r="D7" s="482" t="s">
        <v>260</v>
      </c>
      <c r="E7" s="482" t="s">
        <v>260</v>
      </c>
      <c r="F7" s="482" t="s">
        <v>260</v>
      </c>
      <c r="G7" s="482" t="s">
        <v>266</v>
      </c>
      <c r="H7" s="482" t="s">
        <v>265</v>
      </c>
      <c r="I7" s="485" t="s">
        <v>266</v>
      </c>
    </row>
    <row r="8" spans="1:9">
      <c r="A8" s="1054"/>
      <c r="B8" s="395" t="s">
        <v>13</v>
      </c>
      <c r="C8" s="482" t="s">
        <v>260</v>
      </c>
      <c r="D8" s="482" t="s">
        <v>260</v>
      </c>
      <c r="E8" s="482" t="s">
        <v>260</v>
      </c>
      <c r="F8" s="482" t="s">
        <v>260</v>
      </c>
      <c r="G8" s="482" t="s">
        <v>265</v>
      </c>
      <c r="H8" s="482" t="s">
        <v>266</v>
      </c>
      <c r="I8" s="485" t="s">
        <v>265</v>
      </c>
    </row>
    <row r="9" spans="1:9">
      <c r="A9" s="1054"/>
      <c r="B9" s="395" t="s">
        <v>261</v>
      </c>
      <c r="C9" s="482" t="s">
        <v>260</v>
      </c>
      <c r="D9" s="482" t="s">
        <v>260</v>
      </c>
      <c r="E9" s="482" t="s">
        <v>260</v>
      </c>
      <c r="F9" s="482"/>
      <c r="G9" s="482" t="s">
        <v>266</v>
      </c>
      <c r="H9" s="482" t="s">
        <v>265</v>
      </c>
      <c r="I9" s="485" t="s">
        <v>265</v>
      </c>
    </row>
    <row r="10" spans="1:9">
      <c r="A10" s="1054"/>
      <c r="B10" s="395" t="s">
        <v>262</v>
      </c>
      <c r="C10" s="482" t="s">
        <v>260</v>
      </c>
      <c r="D10" s="482" t="s">
        <v>260</v>
      </c>
      <c r="E10" s="482" t="s">
        <v>260</v>
      </c>
      <c r="F10" s="482" t="s">
        <v>260</v>
      </c>
      <c r="G10" s="482" t="s">
        <v>265</v>
      </c>
      <c r="H10" s="482" t="s">
        <v>265</v>
      </c>
      <c r="I10" s="485" t="s">
        <v>265</v>
      </c>
    </row>
    <row r="11" spans="1:9">
      <c r="A11" s="1054"/>
      <c r="B11" s="395" t="s">
        <v>427</v>
      </c>
      <c r="C11" s="482" t="s">
        <v>260</v>
      </c>
      <c r="D11" s="482" t="s">
        <v>260</v>
      </c>
      <c r="E11" s="482" t="s">
        <v>260</v>
      </c>
      <c r="F11" s="482" t="s">
        <v>260</v>
      </c>
      <c r="G11" s="506" t="s">
        <v>265</v>
      </c>
      <c r="H11" s="506" t="s">
        <v>265</v>
      </c>
      <c r="I11" s="716" t="s">
        <v>265</v>
      </c>
    </row>
    <row r="12" spans="1:9">
      <c r="A12" s="1054"/>
      <c r="B12" s="1034" t="s">
        <v>295</v>
      </c>
      <c r="C12" s="1035"/>
      <c r="D12" s="1035"/>
      <c r="E12" s="1035"/>
      <c r="F12" s="1035" t="s">
        <v>268</v>
      </c>
      <c r="G12" s="1041" t="s">
        <v>265</v>
      </c>
      <c r="H12" s="1041" t="s">
        <v>265</v>
      </c>
      <c r="I12" s="1043" t="s">
        <v>265</v>
      </c>
    </row>
    <row r="13" spans="1:9">
      <c r="A13" s="1054"/>
      <c r="B13" s="1034"/>
      <c r="C13" s="1035"/>
      <c r="D13" s="1035"/>
      <c r="E13" s="1035"/>
      <c r="F13" s="1035"/>
      <c r="G13" s="1042"/>
      <c r="H13" s="1042"/>
      <c r="I13" s="1044"/>
    </row>
    <row r="14" spans="1:9" ht="32">
      <c r="A14" s="1054"/>
      <c r="B14" s="505" t="s">
        <v>300</v>
      </c>
      <c r="C14" s="482" t="s">
        <v>268</v>
      </c>
      <c r="D14" s="482" t="s">
        <v>268</v>
      </c>
      <c r="E14" s="482" t="s">
        <v>268</v>
      </c>
      <c r="F14" s="482" t="s">
        <v>268</v>
      </c>
      <c r="G14" s="483" t="s">
        <v>265</v>
      </c>
      <c r="H14" s="483" t="s">
        <v>265</v>
      </c>
      <c r="I14" s="484" t="s">
        <v>265</v>
      </c>
    </row>
    <row r="15" spans="1:9">
      <c r="A15" s="1054"/>
      <c r="B15" s="395" t="s">
        <v>271</v>
      </c>
      <c r="C15" s="482" t="s">
        <v>260</v>
      </c>
      <c r="D15" s="482" t="s">
        <v>260</v>
      </c>
      <c r="E15" s="482" t="s">
        <v>260</v>
      </c>
      <c r="F15" s="482" t="s">
        <v>260</v>
      </c>
      <c r="G15" s="482" t="s">
        <v>265</v>
      </c>
      <c r="H15" s="482" t="s">
        <v>266</v>
      </c>
      <c r="I15" s="485" t="s">
        <v>265</v>
      </c>
    </row>
    <row r="16" spans="1:9">
      <c r="A16" s="1054"/>
      <c r="B16" s="1067" t="s">
        <v>506</v>
      </c>
      <c r="C16" s="1036" t="s">
        <v>260</v>
      </c>
      <c r="D16" s="1035" t="s">
        <v>260</v>
      </c>
      <c r="E16" s="1035" t="s">
        <v>260</v>
      </c>
      <c r="F16" s="1036" t="s">
        <v>260</v>
      </c>
      <c r="G16" s="1041" t="s">
        <v>266</v>
      </c>
      <c r="H16" s="1041" t="s">
        <v>266</v>
      </c>
      <c r="I16" s="1043" t="s">
        <v>265</v>
      </c>
    </row>
    <row r="17" spans="1:9" ht="1" customHeight="1">
      <c r="A17" s="1054"/>
      <c r="B17" s="1067"/>
      <c r="C17" s="1036"/>
      <c r="D17" s="1035"/>
      <c r="E17" s="1035"/>
      <c r="F17" s="1036"/>
      <c r="G17" s="1042"/>
      <c r="H17" s="1042"/>
      <c r="I17" s="1044"/>
    </row>
    <row r="18" spans="1:9" ht="45">
      <c r="A18" s="1054"/>
      <c r="B18" s="395" t="s">
        <v>284</v>
      </c>
      <c r="C18" s="482" t="s">
        <v>260</v>
      </c>
      <c r="D18" s="482" t="s">
        <v>260</v>
      </c>
      <c r="E18" s="482" t="s">
        <v>260</v>
      </c>
      <c r="F18" s="482" t="s">
        <v>260</v>
      </c>
      <c r="G18" s="616" t="s">
        <v>346</v>
      </c>
      <c r="H18" s="482" t="s">
        <v>266</v>
      </c>
      <c r="I18" s="485" t="s">
        <v>265</v>
      </c>
    </row>
    <row r="19" spans="1:9">
      <c r="A19" s="1054"/>
      <c r="B19" s="395" t="s">
        <v>67</v>
      </c>
      <c r="C19" s="482" t="s">
        <v>260</v>
      </c>
      <c r="D19" s="482" t="s">
        <v>260</v>
      </c>
      <c r="E19" s="482" t="s">
        <v>260</v>
      </c>
      <c r="F19" s="482" t="s">
        <v>260</v>
      </c>
      <c r="G19" s="482" t="s">
        <v>266</v>
      </c>
      <c r="H19" s="506" t="s">
        <v>266</v>
      </c>
      <c r="I19" s="485" t="s">
        <v>266</v>
      </c>
    </row>
    <row r="20" spans="1:9">
      <c r="A20" s="1054"/>
      <c r="B20" s="395" t="s">
        <v>267</v>
      </c>
      <c r="C20" s="482" t="s">
        <v>260</v>
      </c>
      <c r="D20" s="482" t="s">
        <v>260</v>
      </c>
      <c r="E20" s="482" t="s">
        <v>260</v>
      </c>
      <c r="F20" s="482" t="s">
        <v>260</v>
      </c>
      <c r="G20" s="482" t="s">
        <v>265</v>
      </c>
      <c r="H20" s="1065" t="s">
        <v>288</v>
      </c>
      <c r="I20" s="485" t="s">
        <v>265</v>
      </c>
    </row>
    <row r="21" spans="1:9" ht="16" thickBot="1">
      <c r="A21" s="1054"/>
      <c r="B21" s="503" t="s">
        <v>264</v>
      </c>
      <c r="C21" s="486" t="s">
        <v>260</v>
      </c>
      <c r="D21" s="486" t="s">
        <v>260</v>
      </c>
      <c r="E21" s="486" t="s">
        <v>260</v>
      </c>
      <c r="F21" s="486" t="s">
        <v>260</v>
      </c>
      <c r="G21" s="486" t="s">
        <v>265</v>
      </c>
      <c r="H21" s="1066"/>
      <c r="I21" s="487" t="s">
        <v>265</v>
      </c>
    </row>
    <row r="22" spans="1:9">
      <c r="A22" s="1054"/>
      <c r="B22" s="504" t="s">
        <v>246</v>
      </c>
      <c r="C22" s="496"/>
      <c r="D22" s="496"/>
      <c r="E22" s="497"/>
      <c r="F22" s="497"/>
      <c r="G22" s="498"/>
      <c r="H22" s="498"/>
      <c r="I22" s="499"/>
    </row>
    <row r="23" spans="1:9">
      <c r="A23" s="1054"/>
      <c r="B23" s="507" t="s">
        <v>247</v>
      </c>
      <c r="C23" s="507"/>
      <c r="D23" s="507"/>
      <c r="E23" s="42"/>
      <c r="F23" s="42"/>
      <c r="G23" s="53"/>
      <c r="H23" s="53"/>
      <c r="I23" s="500"/>
    </row>
    <row r="24" spans="1:9">
      <c r="A24" s="1054"/>
      <c r="B24" s="507" t="s">
        <v>465</v>
      </c>
      <c r="C24" s="507"/>
      <c r="D24" s="507"/>
      <c r="E24" s="42"/>
      <c r="F24" s="42"/>
      <c r="G24" s="53"/>
      <c r="H24" s="53"/>
      <c r="I24" s="500"/>
    </row>
    <row r="25" spans="1:9">
      <c r="A25" s="1054"/>
      <c r="B25" s="1063" t="s">
        <v>466</v>
      </c>
      <c r="C25" s="1063"/>
      <c r="D25" s="1063"/>
      <c r="E25" s="1063"/>
      <c r="F25" s="1063"/>
      <c r="G25" s="1063"/>
      <c r="H25" s="1063"/>
      <c r="I25" s="1064"/>
    </row>
    <row r="26" spans="1:9">
      <c r="A26" s="1054"/>
      <c r="B26" s="1063"/>
      <c r="C26" s="1063"/>
      <c r="D26" s="1063"/>
      <c r="E26" s="1063"/>
      <c r="F26" s="1063"/>
      <c r="G26" s="1063"/>
      <c r="H26" s="1063"/>
      <c r="I26" s="1064"/>
    </row>
    <row r="27" spans="1:9" ht="16" thickBot="1">
      <c r="A27" s="1055"/>
      <c r="B27" s="501"/>
      <c r="C27" s="501"/>
      <c r="D27" s="501"/>
      <c r="E27" s="501"/>
      <c r="F27" s="501"/>
      <c r="G27" s="501"/>
      <c r="H27" s="501"/>
      <c r="I27" s="502"/>
    </row>
    <row r="28" spans="1:9">
      <c r="B28" s="56"/>
      <c r="C28" s="56"/>
      <c r="D28" s="56"/>
      <c r="E28" s="56"/>
      <c r="F28" s="56"/>
      <c r="G28" s="56"/>
      <c r="H28" s="56"/>
      <c r="I28" s="56"/>
    </row>
    <row r="29" spans="1:9" ht="16" thickBot="1">
      <c r="B29" s="478"/>
      <c r="C29" s="478"/>
      <c r="D29" s="478"/>
      <c r="E29" s="71"/>
      <c r="F29" s="481"/>
      <c r="G29" s="70"/>
      <c r="H29" s="70"/>
      <c r="I29" s="70"/>
    </row>
    <row r="30" spans="1:9" ht="22" customHeight="1" thickBot="1">
      <c r="A30" s="1053" t="s">
        <v>279</v>
      </c>
      <c r="B30" s="1051" t="s">
        <v>273</v>
      </c>
      <c r="C30" s="1051"/>
      <c r="D30" s="1051"/>
      <c r="E30" s="1051"/>
      <c r="F30" s="1051"/>
      <c r="G30" s="1051"/>
      <c r="H30" s="1051"/>
      <c r="I30" s="1052"/>
    </row>
    <row r="31" spans="1:9" ht="37" customHeight="1" thickBot="1">
      <c r="A31" s="1054"/>
      <c r="B31" s="1048" t="s">
        <v>281</v>
      </c>
      <c r="C31" s="1049"/>
      <c r="D31" s="1049"/>
      <c r="E31" s="1049"/>
      <c r="F31" s="1049"/>
      <c r="G31" s="1049"/>
      <c r="H31" s="1049"/>
      <c r="I31" s="1050"/>
    </row>
    <row r="32" spans="1:9" ht="17" thickBot="1">
      <c r="A32" s="1054"/>
      <c r="B32" s="490" t="s">
        <v>291</v>
      </c>
      <c r="C32" s="490"/>
      <c r="D32" s="490"/>
      <c r="E32" s="490"/>
      <c r="F32" s="490"/>
      <c r="G32" s="1022" t="s">
        <v>57</v>
      </c>
      <c r="H32" s="1023"/>
      <c r="I32" s="1024"/>
    </row>
    <row r="33" spans="1:11">
      <c r="A33" s="1054"/>
      <c r="B33" s="491" t="s">
        <v>249</v>
      </c>
      <c r="C33" s="491"/>
      <c r="D33" s="491"/>
      <c r="E33" s="491"/>
      <c r="F33" s="491"/>
      <c r="G33" s="1019" t="s">
        <v>285</v>
      </c>
      <c r="H33" s="1020"/>
      <c r="I33" s="1021"/>
    </row>
    <row r="34" spans="1:11">
      <c r="A34" s="1054"/>
      <c r="B34" s="492" t="s">
        <v>301</v>
      </c>
      <c r="C34" s="492"/>
      <c r="D34" s="492"/>
      <c r="E34" s="492"/>
      <c r="F34" s="492"/>
      <c r="G34" s="1025" t="s">
        <v>286</v>
      </c>
      <c r="H34" s="1026"/>
      <c r="I34" s="1027"/>
    </row>
    <row r="35" spans="1:11" ht="16" thickBot="1">
      <c r="A35" s="1054"/>
      <c r="B35" s="493" t="s">
        <v>302</v>
      </c>
      <c r="C35" s="493"/>
      <c r="D35" s="493"/>
      <c r="E35" s="493"/>
      <c r="F35" s="493"/>
      <c r="G35" s="1013">
        <v>48</v>
      </c>
      <c r="H35" s="1014"/>
      <c r="I35" s="1015"/>
    </row>
    <row r="36" spans="1:11" ht="16" thickBot="1">
      <c r="A36" s="1054"/>
      <c r="B36" s="1056"/>
      <c r="C36" s="1057"/>
      <c r="D36" s="1057"/>
      <c r="E36" s="1057"/>
      <c r="F36" s="1057"/>
      <c r="G36" s="1057"/>
      <c r="H36" s="1057"/>
      <c r="I36" s="1058"/>
      <c r="J36" s="238"/>
      <c r="K36" s="238"/>
    </row>
    <row r="37" spans="1:11" ht="17" thickBot="1">
      <c r="A37" s="1054"/>
      <c r="B37" s="490" t="s">
        <v>290</v>
      </c>
      <c r="C37" s="490"/>
      <c r="D37" s="490"/>
      <c r="E37" s="490"/>
      <c r="F37" s="490"/>
      <c r="G37" s="1016" t="s">
        <v>57</v>
      </c>
      <c r="H37" s="1017"/>
      <c r="I37" s="1018"/>
    </row>
    <row r="38" spans="1:11" ht="16">
      <c r="A38" s="1054"/>
      <c r="B38" s="494" t="s">
        <v>251</v>
      </c>
      <c r="C38" s="494"/>
      <c r="D38" s="494"/>
      <c r="E38" s="494"/>
      <c r="F38" s="494"/>
      <c r="G38" s="1019" t="s">
        <v>519</v>
      </c>
      <c r="H38" s="1020"/>
      <c r="I38" s="1021"/>
    </row>
    <row r="39" spans="1:11">
      <c r="A39" s="1054"/>
      <c r="B39" s="492" t="s">
        <v>468</v>
      </c>
      <c r="C39" s="492"/>
      <c r="D39" s="492"/>
      <c r="E39" s="492"/>
      <c r="F39" s="492"/>
      <c r="G39" s="1025" t="s">
        <v>250</v>
      </c>
      <c r="H39" s="1026"/>
      <c r="I39" s="1027"/>
    </row>
    <row r="40" spans="1:11">
      <c r="A40" s="1054"/>
      <c r="B40" s="492" t="s">
        <v>494</v>
      </c>
      <c r="C40" s="492"/>
      <c r="D40" s="492"/>
      <c r="E40" s="492"/>
      <c r="F40" s="492"/>
      <c r="G40" s="1025" t="s">
        <v>463</v>
      </c>
      <c r="H40" s="1026"/>
      <c r="I40" s="1027"/>
    </row>
    <row r="41" spans="1:11" ht="16" thickBot="1">
      <c r="A41" s="1054"/>
      <c r="B41" s="493" t="s">
        <v>495</v>
      </c>
      <c r="C41" s="493"/>
      <c r="D41" s="493"/>
      <c r="E41" s="493"/>
      <c r="F41" s="493"/>
      <c r="G41" s="1013" t="s">
        <v>464</v>
      </c>
      <c r="H41" s="1014"/>
      <c r="I41" s="1015"/>
    </row>
    <row r="42" spans="1:11" ht="16" thickBot="1">
      <c r="A42" s="1054"/>
      <c r="B42" s="1056"/>
      <c r="C42" s="1057"/>
      <c r="D42" s="1057"/>
      <c r="E42" s="1057"/>
      <c r="F42" s="1057"/>
      <c r="G42" s="1057"/>
      <c r="H42" s="1057"/>
      <c r="I42" s="1058"/>
      <c r="J42" s="238"/>
      <c r="K42" s="238"/>
    </row>
    <row r="43" spans="1:11" ht="16">
      <c r="A43" s="1054"/>
      <c r="B43" s="479" t="s">
        <v>292</v>
      </c>
      <c r="C43" s="479"/>
      <c r="D43" s="479"/>
      <c r="E43" s="479"/>
      <c r="F43" s="479"/>
      <c r="G43" s="1028" t="s">
        <v>254</v>
      </c>
      <c r="H43" s="1029"/>
      <c r="I43" s="1030"/>
    </row>
    <row r="44" spans="1:11">
      <c r="A44" s="1054"/>
      <c r="B44" s="480" t="s">
        <v>293</v>
      </c>
      <c r="C44" s="480"/>
      <c r="D44" s="480"/>
      <c r="E44" s="480"/>
      <c r="F44" s="480"/>
      <c r="G44" s="1031"/>
      <c r="H44" s="1032"/>
      <c r="I44" s="1033"/>
    </row>
    <row r="45" spans="1:11">
      <c r="A45" s="1054"/>
      <c r="B45" s="495" t="s">
        <v>251</v>
      </c>
      <c r="C45" s="495"/>
      <c r="D45" s="495"/>
      <c r="E45" s="495"/>
      <c r="F45" s="495"/>
      <c r="G45" s="1025" t="s">
        <v>252</v>
      </c>
      <c r="H45" s="1026"/>
      <c r="I45" s="1027"/>
    </row>
    <row r="46" spans="1:11" ht="16" thickBot="1">
      <c r="A46" s="1055"/>
      <c r="B46" s="265" t="s">
        <v>496</v>
      </c>
      <c r="C46" s="265"/>
      <c r="D46" s="265"/>
      <c r="E46" s="265"/>
      <c r="F46" s="265"/>
      <c r="G46" s="1013" t="s">
        <v>253</v>
      </c>
      <c r="H46" s="1014"/>
      <c r="I46" s="1015"/>
    </row>
  </sheetData>
  <sheetProtection sheet="1" objects="1" scenarios="1"/>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topLeftCell="A40" zoomScale="120" zoomScaleSheetLayoutView="120" workbookViewId="0">
      <selection sqref="A1:I1"/>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185" t="s">
        <v>19</v>
      </c>
      <c r="B1" s="1186"/>
      <c r="C1" s="1186"/>
      <c r="D1" s="1186"/>
      <c r="E1" s="1186"/>
      <c r="F1" s="1186"/>
      <c r="G1" s="1186"/>
      <c r="H1" s="1186"/>
      <c r="I1" s="1187"/>
      <c r="J1" s="39"/>
    </row>
    <row r="2" spans="1:22" ht="23" customHeight="1">
      <c r="A2" s="1196" t="s">
        <v>6</v>
      </c>
      <c r="B2" s="1197"/>
      <c r="C2" s="1197"/>
      <c r="D2" s="1197"/>
      <c r="E2" s="1197"/>
      <c r="F2" s="1197"/>
      <c r="G2" s="1197"/>
      <c r="H2" s="1197"/>
      <c r="I2" s="1198"/>
    </row>
    <row r="3" spans="1:22" ht="24" customHeight="1" thickBot="1">
      <c r="A3" s="1150" t="str">
        <f>'Forside 1'!A6:I6</f>
        <v>Gældende fra 1. oktober 2023</v>
      </c>
      <c r="B3" s="1151"/>
      <c r="C3" s="1151"/>
      <c r="D3" s="1151"/>
      <c r="E3" s="1151"/>
      <c r="F3" s="1151"/>
      <c r="G3" s="1151"/>
      <c r="H3" s="1151"/>
      <c r="I3" s="1152"/>
      <c r="N3" s="57"/>
      <c r="O3" s="57"/>
      <c r="P3" s="57"/>
      <c r="Q3" s="57"/>
      <c r="R3" s="57"/>
      <c r="S3" s="57"/>
      <c r="T3" s="57"/>
      <c r="U3" s="57"/>
      <c r="V3" s="57"/>
    </row>
    <row r="4" spans="1:22" ht="20" customHeight="1" thickBot="1">
      <c r="A4" s="41"/>
      <c r="B4" s="41"/>
      <c r="C4" s="41"/>
      <c r="D4" s="41"/>
      <c r="E4" s="41"/>
      <c r="F4" s="41"/>
      <c r="G4" s="41"/>
      <c r="H4" s="41"/>
      <c r="I4" s="41"/>
      <c r="N4" s="1149"/>
      <c r="O4" s="1149"/>
      <c r="P4" s="1149"/>
      <c r="Q4" s="1149"/>
      <c r="R4" s="1149"/>
      <c r="S4" s="1149"/>
      <c r="T4" s="1149"/>
      <c r="U4" s="1149"/>
      <c r="V4" s="1149"/>
    </row>
    <row r="5" spans="1:22" ht="20" customHeight="1">
      <c r="A5" s="1079" t="s">
        <v>259</v>
      </c>
      <c r="B5" s="1080"/>
      <c r="C5" s="1080"/>
      <c r="D5" s="1080"/>
      <c r="E5" s="1080"/>
      <c r="F5" s="1080"/>
      <c r="G5" s="1080"/>
      <c r="H5" s="1081"/>
      <c r="I5" s="62"/>
      <c r="N5" s="57"/>
      <c r="O5" s="57"/>
      <c r="P5" s="57"/>
      <c r="Q5" s="57"/>
      <c r="R5" s="57"/>
      <c r="S5" s="57"/>
      <c r="T5" s="57"/>
      <c r="U5" s="57"/>
      <c r="V5" s="57"/>
    </row>
    <row r="6" spans="1:22" ht="20" customHeight="1" thickBot="1">
      <c r="A6" s="1170" t="s">
        <v>433</v>
      </c>
      <c r="B6" s="1171"/>
      <c r="C6" s="1171"/>
      <c r="D6" s="1171"/>
      <c r="E6" s="1171"/>
      <c r="F6" s="1171"/>
      <c r="G6" s="1171"/>
      <c r="H6" s="1172"/>
      <c r="I6" s="62"/>
      <c r="N6" s="57"/>
      <c r="O6" s="57"/>
      <c r="P6" s="57"/>
      <c r="Q6" s="57"/>
      <c r="R6" s="57"/>
      <c r="S6" s="57"/>
      <c r="T6" s="57"/>
      <c r="U6" s="57"/>
      <c r="V6" s="57"/>
    </row>
    <row r="7" spans="1:22" ht="24" customHeight="1" thickBot="1">
      <c r="A7" s="1162" t="s">
        <v>94</v>
      </c>
      <c r="B7" s="1159" t="s">
        <v>0</v>
      </c>
      <c r="C7" s="1109" t="s">
        <v>4</v>
      </c>
      <c r="D7" s="1109"/>
      <c r="E7" s="1188"/>
      <c r="F7" s="1156" t="s">
        <v>5</v>
      </c>
      <c r="G7" s="1157"/>
      <c r="H7" s="1158"/>
      <c r="I7" s="63"/>
    </row>
    <row r="8" spans="1:22" ht="30">
      <c r="A8" s="1163"/>
      <c r="B8" s="1160"/>
      <c r="C8" s="327" t="s">
        <v>131</v>
      </c>
      <c r="D8" s="327" t="s">
        <v>340</v>
      </c>
      <c r="E8" s="327" t="s">
        <v>278</v>
      </c>
      <c r="F8" s="327" t="s">
        <v>131</v>
      </c>
      <c r="G8" s="327" t="s">
        <v>340</v>
      </c>
      <c r="H8" s="327" t="s">
        <v>278</v>
      </c>
      <c r="I8" s="50"/>
    </row>
    <row r="9" spans="1:22" ht="18" customHeight="1" thickBot="1">
      <c r="A9" s="1164"/>
      <c r="B9" s="1161"/>
      <c r="C9" s="328">
        <v>40999</v>
      </c>
      <c r="D9" s="328" t="str">
        <f>'Løntabel gældende fra'!$D$1</f>
        <v>01/10/23</v>
      </c>
      <c r="E9" s="328" t="str">
        <f>'Løntabel gældende fra'!$D$1</f>
        <v>01/10/23</v>
      </c>
      <c r="F9" s="329">
        <v>40999</v>
      </c>
      <c r="G9" s="328" t="str">
        <f>'Løntabel gældende fra'!$D$1</f>
        <v>01/10/23</v>
      </c>
      <c r="H9" s="328" t="str">
        <f>'Løntabel gældende fra'!$D$1</f>
        <v>01/10/23</v>
      </c>
      <c r="I9" s="61"/>
    </row>
    <row r="10" spans="1:22" ht="15" customHeight="1">
      <c r="A10" s="332" t="s">
        <v>1</v>
      </c>
      <c r="B10" s="333">
        <v>1</v>
      </c>
      <c r="C10" s="135">
        <v>279695</v>
      </c>
      <c r="D10" s="851">
        <f>ROUND(C10+(C10*'Løntabel gældende fra'!$D$7%),2)</f>
        <v>324221.59999999998</v>
      </c>
      <c r="E10" s="840">
        <f>ROUND(D10/12,2)</f>
        <v>27018.47</v>
      </c>
      <c r="F10" s="135">
        <v>271288</v>
      </c>
      <c r="G10" s="136">
        <f>ROUND(F10+(F10*'Løntabel gældende fra'!$D$7%),2)</f>
        <v>314476.24</v>
      </c>
      <c r="H10" s="840">
        <f>ROUND(G10/12,2)</f>
        <v>26206.35</v>
      </c>
      <c r="I10" s="10"/>
    </row>
    <row r="11" spans="1:22" ht="15" customHeight="1">
      <c r="A11" s="334" t="s">
        <v>51</v>
      </c>
      <c r="B11" s="335">
        <v>2</v>
      </c>
      <c r="C11" s="137">
        <v>298044</v>
      </c>
      <c r="D11" s="428">
        <f>ROUND(C11+(C11*'Løntabel gældende fra'!$D$7%),2)</f>
        <v>345491.71</v>
      </c>
      <c r="E11" s="841">
        <f t="shared" ref="E11:E13" si="0">ROUND(D11/12,2)</f>
        <v>28790.98</v>
      </c>
      <c r="F11" s="137">
        <v>284395</v>
      </c>
      <c r="G11" s="139">
        <f>ROUND(F11+(F11*'Løntabel gældende fra'!$D$7%),2)</f>
        <v>329669.83</v>
      </c>
      <c r="H11" s="841">
        <f t="shared" ref="H11:H13" si="1">ROUND(G11/12,2)</f>
        <v>27472.49</v>
      </c>
      <c r="I11" s="10"/>
    </row>
    <row r="12" spans="1:22" ht="15" customHeight="1">
      <c r="A12" s="334" t="s">
        <v>2</v>
      </c>
      <c r="B12" s="335">
        <v>3</v>
      </c>
      <c r="C12" s="137">
        <v>325699</v>
      </c>
      <c r="D12" s="428">
        <f>ROUND(C12+(C12*'Løntabel gældende fra'!$D$7%),2)</f>
        <v>377549.3</v>
      </c>
      <c r="E12" s="841">
        <f t="shared" si="0"/>
        <v>31462.44</v>
      </c>
      <c r="F12" s="137">
        <v>295011</v>
      </c>
      <c r="G12" s="139">
        <f>ROUND(F12+(F12*'Løntabel gældende fra'!$D$7%),2)</f>
        <v>341975.87</v>
      </c>
      <c r="H12" s="841">
        <f t="shared" si="1"/>
        <v>28497.99</v>
      </c>
      <c r="I12" s="10"/>
    </row>
    <row r="13" spans="1:22" ht="15" customHeight="1" thickBot="1">
      <c r="A13" s="336" t="s">
        <v>3</v>
      </c>
      <c r="B13" s="337">
        <v>4</v>
      </c>
      <c r="C13" s="141">
        <v>351388</v>
      </c>
      <c r="D13" s="844">
        <f>ROUND(C13+(C13*'Løntabel gældende fra'!$D$7%),2)</f>
        <v>407327.92</v>
      </c>
      <c r="E13" s="842">
        <f t="shared" si="0"/>
        <v>33943.99</v>
      </c>
      <c r="F13" s="141">
        <v>313754</v>
      </c>
      <c r="G13" s="843">
        <f>ROUND(F13+(F13*'Løntabel gældende fra'!$D$7%),2)</f>
        <v>363702.7</v>
      </c>
      <c r="H13" s="842">
        <f t="shared" si="1"/>
        <v>30308.560000000001</v>
      </c>
      <c r="I13" s="10"/>
    </row>
    <row r="14" spans="1:22" ht="21" customHeight="1" thickBot="1">
      <c r="A14" s="8"/>
      <c r="B14" s="8"/>
      <c r="C14" s="9"/>
      <c r="D14" s="8"/>
      <c r="E14" s="8"/>
      <c r="F14" s="9"/>
      <c r="G14" s="8"/>
      <c r="H14" s="8"/>
      <c r="I14" s="10"/>
    </row>
    <row r="15" spans="1:22" ht="20" customHeight="1">
      <c r="A15" s="1079" t="s">
        <v>398</v>
      </c>
      <c r="B15" s="1080"/>
      <c r="C15" s="1080"/>
      <c r="D15" s="1080"/>
      <c r="E15" s="1080"/>
      <c r="F15" s="1080"/>
      <c r="G15" s="1080"/>
      <c r="H15" s="1081"/>
      <c r="I15" s="62"/>
    </row>
    <row r="16" spans="1:22" ht="20" customHeight="1" thickBot="1">
      <c r="A16" s="1170" t="s">
        <v>434</v>
      </c>
      <c r="B16" s="1171"/>
      <c r="C16" s="1171"/>
      <c r="D16" s="1171"/>
      <c r="E16" s="1171"/>
      <c r="F16" s="1171"/>
      <c r="G16" s="1171"/>
      <c r="H16" s="1172"/>
      <c r="I16" s="62"/>
    </row>
    <row r="17" spans="1:9" ht="23" customHeight="1" thickBot="1">
      <c r="A17" s="1082" t="s">
        <v>11</v>
      </c>
      <c r="B17" s="1083"/>
      <c r="C17" s="1108" t="s">
        <v>4</v>
      </c>
      <c r="D17" s="1109"/>
      <c r="E17" s="1188"/>
      <c r="F17" s="1156" t="s">
        <v>5</v>
      </c>
      <c r="G17" s="1157"/>
      <c r="H17" s="1158"/>
      <c r="I17" s="63"/>
    </row>
    <row r="18" spans="1:9" ht="15">
      <c r="A18" s="1084"/>
      <c r="B18" s="1193"/>
      <c r="C18" s="1166" t="s">
        <v>234</v>
      </c>
      <c r="D18" s="327" t="s">
        <v>98</v>
      </c>
      <c r="E18" s="327" t="s">
        <v>339</v>
      </c>
      <c r="F18" s="1166" t="s">
        <v>234</v>
      </c>
      <c r="G18" s="327" t="s">
        <v>99</v>
      </c>
      <c r="H18" s="327" t="s">
        <v>339</v>
      </c>
      <c r="I18" s="11"/>
    </row>
    <row r="19" spans="1:9" ht="16" thickBot="1">
      <c r="A19" s="1084"/>
      <c r="B19" s="1193"/>
      <c r="C19" s="1165"/>
      <c r="D19" s="330">
        <v>40999</v>
      </c>
      <c r="E19" s="331" t="str">
        <f>'Løntabel gældende fra'!$D$1</f>
        <v>01/10/23</v>
      </c>
      <c r="F19" s="1165"/>
      <c r="G19" s="330">
        <v>40999</v>
      </c>
      <c r="H19" s="331" t="str">
        <f>'Løntabel gældende fra'!$D$1</f>
        <v>01/10/23</v>
      </c>
      <c r="I19" s="64"/>
    </row>
    <row r="20" spans="1:9" ht="15" customHeight="1">
      <c r="A20" s="1084"/>
      <c r="B20" s="1085"/>
      <c r="C20" s="143" t="s">
        <v>43</v>
      </c>
      <c r="D20" s="144">
        <v>16.38</v>
      </c>
      <c r="E20" s="138">
        <f>ROUND(D20+(D20*'Løntabel gældende fra'!$D$7%),2)</f>
        <v>18.989999999999998</v>
      </c>
      <c r="F20" s="145" t="s">
        <v>47</v>
      </c>
      <c r="G20" s="146">
        <v>22.4054</v>
      </c>
      <c r="H20" s="138">
        <f>ROUND(G20+(G20*'Løntabel gældende fra'!$D$7%),2)</f>
        <v>25.97</v>
      </c>
      <c r="I20" s="45"/>
    </row>
    <row r="21" spans="1:9" ht="15" customHeight="1">
      <c r="A21" s="1084"/>
      <c r="B21" s="1085"/>
      <c r="C21" s="147" t="s">
        <v>44</v>
      </c>
      <c r="D21" s="139">
        <v>98.3</v>
      </c>
      <c r="E21" s="138">
        <f>ROUND(D21+(D21*'Løntabel gældende fra'!$D$7%),2)</f>
        <v>113.95</v>
      </c>
      <c r="F21" s="148" t="s">
        <v>48</v>
      </c>
      <c r="G21" s="149">
        <v>65.525400000000005</v>
      </c>
      <c r="H21" s="138">
        <f>ROUND(G21+(G21*'Løntabel gældende fra'!$D$7%),2)</f>
        <v>75.959999999999994</v>
      </c>
      <c r="I21" s="45"/>
    </row>
    <row r="22" spans="1:9" ht="15" customHeight="1">
      <c r="A22" s="1084"/>
      <c r="B22" s="1085"/>
      <c r="C22" s="147" t="s">
        <v>45</v>
      </c>
      <c r="D22" s="150">
        <v>131.07</v>
      </c>
      <c r="E22" s="138">
        <f>ROUND(D22+(D22*'Løntabel gældende fra'!$D$7%),2)</f>
        <v>151.94</v>
      </c>
      <c r="F22" s="148" t="s">
        <v>49</v>
      </c>
      <c r="G22" s="149">
        <v>131.07</v>
      </c>
      <c r="H22" s="138">
        <f>ROUND(G22+(G22*'Løntabel gældende fra'!$D$7%),2)</f>
        <v>151.94</v>
      </c>
      <c r="I22" s="45"/>
    </row>
    <row r="23" spans="1:9" ht="15" customHeight="1" thickBot="1">
      <c r="A23" s="1194"/>
      <c r="B23" s="1195"/>
      <c r="C23" s="151" t="s">
        <v>46</v>
      </c>
      <c r="D23" s="152">
        <v>163.83000000000001</v>
      </c>
      <c r="E23" s="142">
        <f>ROUND(D23+(D23*'Løntabel gældende fra'!$D$7%),2)</f>
        <v>189.91</v>
      </c>
      <c r="F23" s="153" t="s">
        <v>50</v>
      </c>
      <c r="G23" s="154">
        <v>163.82830000000001</v>
      </c>
      <c r="H23" s="142">
        <f>ROUND(G23+(G23*'Løntabel gældende fra'!$D$7%),2)</f>
        <v>189.91</v>
      </c>
      <c r="I23" s="45"/>
    </row>
    <row r="24" spans="1:9" s="115" customFormat="1" ht="21" customHeight="1" thickBot="1">
      <c r="A24" s="111"/>
      <c r="B24" s="111"/>
      <c r="C24" s="112"/>
      <c r="D24" s="113"/>
      <c r="E24" s="113"/>
      <c r="F24" s="112"/>
      <c r="G24" s="113"/>
      <c r="H24" s="113"/>
      <c r="I24" s="114"/>
    </row>
    <row r="25" spans="1:9" ht="20" customHeight="1">
      <c r="A25" s="1153" t="s">
        <v>244</v>
      </c>
      <c r="B25" s="1154"/>
      <c r="C25" s="1154"/>
      <c r="D25" s="1154"/>
      <c r="E25" s="1154"/>
      <c r="F25" s="1154"/>
      <c r="G25" s="1154"/>
      <c r="H25" s="1154"/>
      <c r="I25" s="1155"/>
    </row>
    <row r="26" spans="1:9" ht="20" customHeight="1" thickBot="1">
      <c r="A26" s="1119" t="str">
        <f>"Indtast det årlige timetal i de gule felter. Arket beregner derefter det månedlige undervisningstillæg pr. "&amp;'Løntabel gældende fra'!D1&amp;""</f>
        <v>Indtast det årlige timetal i de gule felter. Arket beregner derefter det månedlige undervisningstillæg pr. 01/10/23</v>
      </c>
      <c r="B26" s="1120"/>
      <c r="C26" s="1120"/>
      <c r="D26" s="1120"/>
      <c r="E26" s="1120"/>
      <c r="F26" s="1120"/>
      <c r="G26" s="1120"/>
      <c r="H26" s="1120"/>
      <c r="I26" s="1121"/>
    </row>
    <row r="27" spans="1:9" ht="24" customHeight="1">
      <c r="A27" s="1191"/>
      <c r="B27" s="1192"/>
      <c r="C27" s="1129" t="s">
        <v>4</v>
      </c>
      <c r="D27" s="1129"/>
      <c r="E27" s="1130"/>
      <c r="F27" s="1189" t="s">
        <v>5</v>
      </c>
      <c r="G27" s="1129"/>
      <c r="H27" s="1129"/>
      <c r="I27" s="1130"/>
    </row>
    <row r="28" spans="1:9" ht="20" customHeight="1">
      <c r="A28" s="1201" t="s">
        <v>12</v>
      </c>
      <c r="B28" s="1202"/>
      <c r="C28" s="1203"/>
      <c r="D28" s="1204"/>
      <c r="E28" s="1205"/>
      <c r="F28" s="1203"/>
      <c r="G28" s="1204"/>
      <c r="H28" s="1204"/>
      <c r="I28" s="1205"/>
    </row>
    <row r="29" spans="1:9" ht="32.25" customHeight="1" thickBot="1">
      <c r="A29" s="1199" t="str">
        <f>"Mdr. undervisningstillæg pr. "&amp;'Løntabel gældende fra'!D1&amp;""</f>
        <v>Mdr. undervisningstillæg pr. 01/10/23</v>
      </c>
      <c r="B29" s="1200"/>
      <c r="C29" s="1176">
        <f>ROUND(IF(C28&lt;650,C28*E20,IF(AND(C28&gt;=650,C28&lt;700),650*E20+(C28-650)*E21,IF(AND(C28&gt;=700,C28&lt;750),650*E20+50*E21+(C28-700)*E22,IF(C28&gt;=750,650*E20+50*E21+50*E22+(C28-750)*E23,))))/12,2)</f>
        <v>0</v>
      </c>
      <c r="D29" s="1177" t="e">
        <f t="shared" ref="D29:H29" si="2">IF(D28&lt;750,D28*F20,IF(AND(D28&gt;=750,D28&lt;800),750*F20+(D28-750)*F21,IF(AND(D28&gt;=800,D28&lt;835),750*F20+50*F21+(D28-800)*F22,IF(D28&gt;=835,750*F20+50*F21+35*F22+(D28-835)*F23,))))</f>
        <v>#VALUE!</v>
      </c>
      <c r="E29" s="1178">
        <f t="shared" si="2"/>
        <v>0</v>
      </c>
      <c r="F29" s="1176">
        <f>IF(F28&lt;750,F28*H20,IF(AND(F28&gt;=750,F28&lt;800),750*H20+(F28-750)*H21,IF(AND(F28&gt;=800,F28&lt;835),750*H20+50*H21+(F28-800)*H22,IF(F28&gt;=835,750*H20+50*H21+35*H22+(F28-835)*H23,))))/12</f>
        <v>0</v>
      </c>
      <c r="G29" s="1177">
        <f t="shared" si="2"/>
        <v>0</v>
      </c>
      <c r="H29" s="1177">
        <f t="shared" si="2"/>
        <v>0</v>
      </c>
      <c r="I29" s="1178"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167" t="s">
        <v>309</v>
      </c>
      <c r="B31" s="1168"/>
      <c r="C31" s="1168"/>
      <c r="D31" s="1168"/>
      <c r="E31" s="1168"/>
      <c r="F31" s="1168"/>
      <c r="G31" s="1168"/>
      <c r="H31" s="1168"/>
      <c r="I31" s="1169"/>
    </row>
    <row r="32" spans="1:9" ht="20" customHeight="1">
      <c r="A32" s="1173" t="s">
        <v>245</v>
      </c>
      <c r="B32" s="1174"/>
      <c r="C32" s="1174"/>
      <c r="D32" s="1174"/>
      <c r="E32" s="1174"/>
      <c r="F32" s="1174"/>
      <c r="G32" s="1174"/>
      <c r="H32" s="1174"/>
      <c r="I32" s="1175"/>
    </row>
    <row r="33" spans="1:9" ht="20" customHeight="1" thickBot="1">
      <c r="A33" s="1126" t="s">
        <v>317</v>
      </c>
      <c r="B33" s="1127"/>
      <c r="C33" s="1127"/>
      <c r="D33" s="1127"/>
      <c r="E33" s="1127"/>
      <c r="F33" s="1127"/>
      <c r="G33" s="1127"/>
      <c r="H33" s="1127"/>
      <c r="I33" s="1128"/>
    </row>
    <row r="34" spans="1:9" ht="24" customHeight="1" thickBot="1">
      <c r="A34" s="1112" t="s">
        <v>102</v>
      </c>
      <c r="B34" s="1113" t="s">
        <v>4</v>
      </c>
      <c r="C34" s="1113"/>
      <c r="D34" s="1113"/>
      <c r="E34" s="1143"/>
      <c r="F34" s="1114" t="s">
        <v>5</v>
      </c>
      <c r="G34" s="1113"/>
      <c r="H34" s="1113"/>
      <c r="I34" s="1143"/>
    </row>
    <row r="35" spans="1:9" ht="24" customHeight="1" thickBot="1">
      <c r="A35" s="1165"/>
      <c r="B35" s="429" t="s">
        <v>7</v>
      </c>
      <c r="C35" s="430" t="s">
        <v>8</v>
      </c>
      <c r="D35" s="429" t="s">
        <v>10</v>
      </c>
      <c r="E35" s="431" t="s">
        <v>9</v>
      </c>
      <c r="F35" s="432" t="s">
        <v>7</v>
      </c>
      <c r="G35" s="433" t="s">
        <v>8</v>
      </c>
      <c r="H35" s="363" t="s">
        <v>10</v>
      </c>
      <c r="I35" s="434" t="s">
        <v>9</v>
      </c>
    </row>
    <row r="36" spans="1:9" ht="15" customHeight="1">
      <c r="A36" s="338">
        <v>1</v>
      </c>
      <c r="B36" s="423">
        <v>325</v>
      </c>
      <c r="C36" s="426">
        <v>575</v>
      </c>
      <c r="D36" s="423">
        <v>900</v>
      </c>
      <c r="E36" s="156">
        <v>1150</v>
      </c>
      <c r="F36" s="428">
        <v>375</v>
      </c>
      <c r="G36" s="160">
        <v>625</v>
      </c>
      <c r="H36" s="350">
        <v>1000</v>
      </c>
      <c r="I36" s="160">
        <v>1250</v>
      </c>
    </row>
    <row r="37" spans="1:9" ht="15" customHeight="1">
      <c r="A37" s="339">
        <v>2</v>
      </c>
      <c r="B37" s="424">
        <v>275</v>
      </c>
      <c r="C37" s="426">
        <v>475</v>
      </c>
      <c r="D37" s="424">
        <v>750</v>
      </c>
      <c r="E37" s="156">
        <v>950</v>
      </c>
      <c r="F37" s="348">
        <v>325</v>
      </c>
      <c r="G37" s="181">
        <v>575</v>
      </c>
      <c r="H37" s="353">
        <v>900</v>
      </c>
      <c r="I37" s="181">
        <v>1150</v>
      </c>
    </row>
    <row r="38" spans="1:9" ht="15" customHeight="1">
      <c r="A38" s="339">
        <v>3</v>
      </c>
      <c r="B38" s="424">
        <v>175</v>
      </c>
      <c r="C38" s="426">
        <v>325</v>
      </c>
      <c r="D38" s="424">
        <v>500</v>
      </c>
      <c r="E38" s="156">
        <v>625</v>
      </c>
      <c r="F38" s="348">
        <v>300</v>
      </c>
      <c r="G38" s="181">
        <v>525</v>
      </c>
      <c r="H38" s="353">
        <v>825</v>
      </c>
      <c r="I38" s="181">
        <v>1050</v>
      </c>
    </row>
    <row r="39" spans="1:9" ht="15" customHeight="1" thickBot="1">
      <c r="A39" s="340">
        <v>4</v>
      </c>
      <c r="B39" s="425">
        <v>175</v>
      </c>
      <c r="C39" s="427">
        <v>325</v>
      </c>
      <c r="D39" s="425">
        <v>500</v>
      </c>
      <c r="E39" s="157">
        <v>625</v>
      </c>
      <c r="F39" s="354">
        <v>300</v>
      </c>
      <c r="G39" s="161">
        <v>525</v>
      </c>
      <c r="H39" s="351">
        <v>825</v>
      </c>
      <c r="I39" s="161">
        <v>1050</v>
      </c>
    </row>
    <row r="40" spans="1:9" ht="24" customHeight="1" thickBot="1">
      <c r="A40" s="52"/>
      <c r="B40" s="52"/>
      <c r="C40" s="8"/>
      <c r="D40" s="8"/>
      <c r="E40" s="8"/>
      <c r="F40" s="8"/>
      <c r="G40" s="8"/>
      <c r="H40" s="8"/>
      <c r="I40" s="8"/>
    </row>
    <row r="41" spans="1:9" ht="20" customHeight="1">
      <c r="A41" s="1153" t="s">
        <v>310</v>
      </c>
      <c r="B41" s="1154"/>
      <c r="C41" s="1154"/>
      <c r="D41" s="1154"/>
      <c r="E41" s="1154"/>
      <c r="F41" s="1154"/>
      <c r="G41" s="1155"/>
      <c r="H41" s="58"/>
      <c r="I41" s="7"/>
    </row>
    <row r="42" spans="1:9" ht="20" customHeight="1" thickBot="1">
      <c r="A42" s="1119" t="s">
        <v>318</v>
      </c>
      <c r="B42" s="1120"/>
      <c r="C42" s="1120"/>
      <c r="D42" s="1120"/>
      <c r="E42" s="1120"/>
      <c r="F42" s="1120"/>
      <c r="G42" s="1121"/>
      <c r="H42" s="58"/>
      <c r="I42" s="7"/>
    </row>
    <row r="43" spans="1:9" ht="13" customHeight="1">
      <c r="A43" s="1166" t="s">
        <v>0</v>
      </c>
      <c r="B43" s="1108" t="s">
        <v>131</v>
      </c>
      <c r="C43" s="1188"/>
      <c r="D43" s="1108" t="s">
        <v>340</v>
      </c>
      <c r="E43" s="1109"/>
      <c r="F43" s="1108" t="s">
        <v>278</v>
      </c>
      <c r="G43" s="1188"/>
      <c r="H43" s="42"/>
      <c r="I43" s="7"/>
    </row>
    <row r="44" spans="1:9" ht="14" customHeight="1" thickBot="1">
      <c r="A44" s="1165"/>
      <c r="B44" s="1190">
        <f>$D$19</f>
        <v>40999</v>
      </c>
      <c r="C44" s="1107"/>
      <c r="D44" s="1190" t="str">
        <f>'Løntabel gældende fra'!$D$1</f>
        <v>01/10/23</v>
      </c>
      <c r="E44" s="1106"/>
      <c r="F44" s="1190" t="str">
        <f>'Løntabel gældende fra'!$D$1</f>
        <v>01/10/23</v>
      </c>
      <c r="G44" s="1107"/>
      <c r="H44" s="42"/>
      <c r="I44" s="7"/>
    </row>
    <row r="45" spans="1:9" ht="15" customHeight="1">
      <c r="A45" s="338">
        <v>1</v>
      </c>
      <c r="B45" s="1228">
        <v>5200</v>
      </c>
      <c r="C45" s="1228"/>
      <c r="D45" s="1068">
        <f>ROUND(B45+(B45*'Løntabel gældende fra'!$D$7%),2)</f>
        <v>6027.82</v>
      </c>
      <c r="E45" s="1070"/>
      <c r="F45" s="1088">
        <f>ROUND(D45/12,2)</f>
        <v>502.32</v>
      </c>
      <c r="G45" s="1089"/>
      <c r="H45" s="10"/>
      <c r="I45" s="7"/>
    </row>
    <row r="46" spans="1:9" ht="15" customHeight="1">
      <c r="A46" s="339">
        <v>2</v>
      </c>
      <c r="B46" s="1072">
        <v>7900</v>
      </c>
      <c r="C46" s="1072"/>
      <c r="D46" s="1253">
        <f>ROUND(B46+(B46*'Løntabel gældende fra'!$D$7%),2)</f>
        <v>9157.66</v>
      </c>
      <c r="E46" s="1229"/>
      <c r="F46" s="1098">
        <f>ROUND(D46/12,2)</f>
        <v>763.14</v>
      </c>
      <c r="G46" s="1099"/>
      <c r="H46" s="10"/>
      <c r="I46" s="7"/>
    </row>
    <row r="47" spans="1:9" ht="15" customHeight="1" thickBot="1">
      <c r="A47" s="340">
        <v>3</v>
      </c>
      <c r="B47" s="1075">
        <v>7900</v>
      </c>
      <c r="C47" s="1075"/>
      <c r="D47" s="1074">
        <f>ROUND(B47+(B47*'Løntabel gældende fra'!$D$7%),2)</f>
        <v>9157.66</v>
      </c>
      <c r="E47" s="1076"/>
      <c r="F47" s="1100">
        <f>ROUND(D47/12,2)</f>
        <v>763.14</v>
      </c>
      <c r="G47" s="1101"/>
      <c r="H47" s="10"/>
      <c r="I47" s="7"/>
    </row>
    <row r="48" spans="1:9" s="57" customFormat="1" ht="24" customHeight="1" thickBot="1">
      <c r="A48" s="42"/>
      <c r="B48" s="54"/>
      <c r="C48" s="42"/>
      <c r="D48" s="55"/>
      <c r="E48" s="42"/>
      <c r="F48" s="55"/>
      <c r="G48" s="42"/>
      <c r="H48" s="42"/>
      <c r="I48" s="56"/>
    </row>
    <row r="49" spans="1:17" ht="20" customHeight="1">
      <c r="A49" s="1153" t="s">
        <v>428</v>
      </c>
      <c r="B49" s="1257"/>
      <c r="C49" s="1257"/>
      <c r="D49" s="1257"/>
      <c r="E49" s="1257"/>
      <c r="F49" s="1257"/>
      <c r="G49" s="1258"/>
      <c r="H49" s="59"/>
      <c r="K49" s="16"/>
      <c r="L49" s="16"/>
      <c r="M49" s="16"/>
      <c r="N49" s="16"/>
      <c r="O49" s="16"/>
      <c r="P49" s="16"/>
      <c r="Q49" s="16"/>
    </row>
    <row r="50" spans="1:17" ht="20" customHeight="1" thickBot="1">
      <c r="A50" s="1119" t="s">
        <v>319</v>
      </c>
      <c r="B50" s="1120"/>
      <c r="C50" s="1120"/>
      <c r="D50" s="1120"/>
      <c r="E50" s="1120"/>
      <c r="F50" s="1120"/>
      <c r="G50" s="1121"/>
      <c r="H50" s="59"/>
      <c r="K50" s="16"/>
      <c r="L50" s="16"/>
      <c r="M50" s="16"/>
      <c r="N50" s="16"/>
      <c r="O50" s="16"/>
      <c r="P50" s="16"/>
      <c r="Q50" s="16"/>
    </row>
    <row r="51" spans="1:17" ht="16" customHeight="1">
      <c r="A51" s="1166" t="s">
        <v>0</v>
      </c>
      <c r="B51" s="1122" t="s">
        <v>131</v>
      </c>
      <c r="C51" s="1123"/>
      <c r="D51" s="1122" t="s">
        <v>340</v>
      </c>
      <c r="E51" s="1123"/>
      <c r="F51" s="1122" t="s">
        <v>278</v>
      </c>
      <c r="G51" s="1123"/>
      <c r="H51" s="42"/>
      <c r="K51" s="16"/>
      <c r="L51" s="16"/>
      <c r="M51" s="16"/>
      <c r="N51" s="16"/>
      <c r="O51" s="16"/>
      <c r="P51" s="16"/>
      <c r="Q51" s="16"/>
    </row>
    <row r="52" spans="1:17" ht="16" customHeight="1" thickBot="1">
      <c r="A52" s="1112"/>
      <c r="B52" s="1146">
        <f>C9</f>
        <v>40999</v>
      </c>
      <c r="C52" s="1125"/>
      <c r="D52" s="1124" t="str">
        <f>'Løntabel gældende fra'!D1</f>
        <v>01/10/23</v>
      </c>
      <c r="E52" s="1125"/>
      <c r="F52" s="1124" t="str">
        <f>'Løntabel gældende fra'!D1</f>
        <v>01/10/23</v>
      </c>
      <c r="G52" s="1125"/>
      <c r="H52" s="42"/>
      <c r="K52" s="16"/>
      <c r="L52" s="16"/>
      <c r="M52" s="16"/>
      <c r="N52" s="16"/>
      <c r="O52" s="16"/>
      <c r="P52" s="16"/>
      <c r="Q52" s="16"/>
    </row>
    <row r="53" spans="1:17" ht="15" customHeight="1">
      <c r="A53" s="338">
        <v>1</v>
      </c>
      <c r="B53" s="1069">
        <v>2800</v>
      </c>
      <c r="C53" s="1069"/>
      <c r="D53" s="1096">
        <f>ROUND(B53+(B53*'Løntabel gældende fra'!$D$7%),2)</f>
        <v>3245.75</v>
      </c>
      <c r="E53" s="1097"/>
      <c r="F53" s="1068">
        <f>ROUND(D53/12,2)</f>
        <v>270.48</v>
      </c>
      <c r="G53" s="1070"/>
      <c r="H53" s="10"/>
      <c r="K53" s="16"/>
      <c r="L53" s="16"/>
      <c r="M53" s="16"/>
      <c r="N53" s="16"/>
      <c r="O53" s="16"/>
      <c r="P53" s="16"/>
      <c r="Q53" s="16"/>
    </row>
    <row r="54" spans="1:17" ht="15" customHeight="1">
      <c r="A54" s="339">
        <v>2</v>
      </c>
      <c r="B54" s="1072">
        <v>2800</v>
      </c>
      <c r="C54" s="1072"/>
      <c r="D54" s="1098">
        <f>ROUND(B54+(B54*'Løntabel gældende fra'!$D$7%),2)</f>
        <v>3245.75</v>
      </c>
      <c r="E54" s="1099"/>
      <c r="F54" s="1071">
        <f t="shared" ref="F54:F56" si="3">ROUND(D54/12,2)</f>
        <v>270.48</v>
      </c>
      <c r="G54" s="1073"/>
      <c r="H54" s="10"/>
      <c r="K54" s="16"/>
      <c r="L54" s="16"/>
      <c r="M54" s="16"/>
      <c r="N54" s="16"/>
      <c r="O54" s="16"/>
      <c r="P54" s="16"/>
      <c r="Q54" s="16"/>
    </row>
    <row r="55" spans="1:17" ht="15" customHeight="1">
      <c r="A55" s="341">
        <v>3</v>
      </c>
      <c r="B55" s="1072">
        <v>2800</v>
      </c>
      <c r="C55" s="1072"/>
      <c r="D55" s="1098">
        <f>ROUND(B55+(B55*'Løntabel gældende fra'!$D$7%),2)</f>
        <v>3245.75</v>
      </c>
      <c r="E55" s="1099"/>
      <c r="F55" s="1071">
        <f t="shared" si="3"/>
        <v>270.48</v>
      </c>
      <c r="G55" s="1073"/>
      <c r="H55" s="10"/>
      <c r="K55" s="16"/>
      <c r="L55" s="16"/>
      <c r="M55" s="16"/>
      <c r="N55" s="16"/>
      <c r="O55" s="16"/>
      <c r="P55" s="16"/>
      <c r="Q55" s="16"/>
    </row>
    <row r="56" spans="1:17" ht="15" customHeight="1" thickBot="1">
      <c r="A56" s="340">
        <v>4</v>
      </c>
      <c r="B56" s="1075">
        <v>2800</v>
      </c>
      <c r="C56" s="1075"/>
      <c r="D56" s="1100">
        <f>ROUND(B56+(B56*'Løntabel gældende fra'!$D$7%),2)</f>
        <v>3245.75</v>
      </c>
      <c r="E56" s="1101"/>
      <c r="F56" s="1074">
        <f t="shared" si="3"/>
        <v>270.48</v>
      </c>
      <c r="G56" s="1076"/>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53" t="s">
        <v>429</v>
      </c>
      <c r="B58" s="1257"/>
      <c r="C58" s="1257"/>
      <c r="D58" s="1257"/>
      <c r="E58" s="1257"/>
      <c r="F58" s="1257"/>
      <c r="G58" s="1258"/>
      <c r="H58" s="59"/>
      <c r="K58" s="16"/>
      <c r="L58" s="16"/>
      <c r="M58" s="16"/>
      <c r="N58" s="16"/>
      <c r="O58" s="16"/>
      <c r="P58" s="16"/>
      <c r="Q58" s="16"/>
    </row>
    <row r="59" spans="1:17" ht="20" customHeight="1" thickBot="1">
      <c r="A59" s="1119" t="s">
        <v>319</v>
      </c>
      <c r="B59" s="1120"/>
      <c r="C59" s="1120"/>
      <c r="D59" s="1120"/>
      <c r="E59" s="1120"/>
      <c r="F59" s="1120"/>
      <c r="G59" s="1121"/>
      <c r="H59" s="59"/>
      <c r="K59" s="16"/>
      <c r="L59" s="16"/>
      <c r="M59" s="16"/>
      <c r="N59" s="16"/>
      <c r="O59" s="16"/>
      <c r="P59" s="16"/>
      <c r="Q59" s="16"/>
    </row>
    <row r="60" spans="1:17" ht="16" customHeight="1">
      <c r="A60" s="1166" t="s">
        <v>0</v>
      </c>
      <c r="B60" s="1122" t="s">
        <v>131</v>
      </c>
      <c r="C60" s="1123"/>
      <c r="D60" s="1122" t="s">
        <v>340</v>
      </c>
      <c r="E60" s="1123"/>
      <c r="F60" s="1122" t="s">
        <v>278</v>
      </c>
      <c r="G60" s="1123"/>
      <c r="H60" s="42"/>
      <c r="K60" s="16"/>
      <c r="L60" s="16"/>
      <c r="M60" s="16"/>
      <c r="N60" s="16"/>
      <c r="O60" s="16"/>
      <c r="P60" s="16"/>
      <c r="Q60" s="16"/>
    </row>
    <row r="61" spans="1:17" ht="16" customHeight="1" thickBot="1">
      <c r="A61" s="1112"/>
      <c r="B61" s="1146">
        <f>B52</f>
        <v>40999</v>
      </c>
      <c r="C61" s="1125"/>
      <c r="D61" s="1124" t="str">
        <f>'Løntabel gældende fra'!D1</f>
        <v>01/10/23</v>
      </c>
      <c r="E61" s="1125"/>
      <c r="F61" s="1124" t="str">
        <f>'Løntabel gældende fra'!D1</f>
        <v>01/10/23</v>
      </c>
      <c r="G61" s="1125"/>
      <c r="H61" s="42"/>
      <c r="K61" s="16"/>
      <c r="L61" s="16"/>
      <c r="M61" s="16"/>
      <c r="N61" s="16"/>
      <c r="O61" s="16"/>
      <c r="P61" s="16"/>
      <c r="Q61" s="16"/>
    </row>
    <row r="62" spans="1:17" ht="15" customHeight="1">
      <c r="A62" s="338">
        <v>1</v>
      </c>
      <c r="B62" s="1069">
        <v>900</v>
      </c>
      <c r="C62" s="1069"/>
      <c r="D62" s="1096">
        <f>ROUND(B62+(B62*'Løntabel gældende fra'!$D$7%),2)</f>
        <v>1043.28</v>
      </c>
      <c r="E62" s="1097"/>
      <c r="F62" s="1069">
        <f>ROUND(D62/12,2)</f>
        <v>86.94</v>
      </c>
      <c r="G62" s="1070"/>
      <c r="H62" s="10"/>
      <c r="K62" s="16"/>
      <c r="L62" s="16"/>
      <c r="M62" s="16"/>
      <c r="N62" s="16"/>
      <c r="O62" s="16"/>
      <c r="P62" s="16"/>
      <c r="Q62" s="16"/>
    </row>
    <row r="63" spans="1:17" ht="15" customHeight="1">
      <c r="A63" s="339">
        <v>2</v>
      </c>
      <c r="B63" s="1072">
        <v>900</v>
      </c>
      <c r="C63" s="1072"/>
      <c r="D63" s="1098">
        <f>ROUND(B63+(B63*'Løntabel gældende fra'!$D$7%),2)</f>
        <v>1043.28</v>
      </c>
      <c r="E63" s="1099"/>
      <c r="F63" s="1228">
        <f>ROUND(D63/12,2)</f>
        <v>86.94</v>
      </c>
      <c r="G63" s="1229"/>
      <c r="H63" s="10"/>
      <c r="K63" s="16"/>
      <c r="L63" s="16"/>
      <c r="M63" s="16"/>
      <c r="N63" s="16"/>
      <c r="O63" s="16"/>
      <c r="P63" s="16"/>
      <c r="Q63" s="16"/>
    </row>
    <row r="64" spans="1:17" ht="15" customHeight="1">
      <c r="A64" s="341">
        <v>3</v>
      </c>
      <c r="B64" s="1072">
        <v>900</v>
      </c>
      <c r="C64" s="1072"/>
      <c r="D64" s="1098">
        <f>ROUND(B64+(B64*'Løntabel gældende fra'!$D$7%),2)</f>
        <v>1043.28</v>
      </c>
      <c r="E64" s="1099"/>
      <c r="F64" s="1228">
        <f>ROUND(D64/12,2)</f>
        <v>86.94</v>
      </c>
      <c r="G64" s="1229"/>
      <c r="H64" s="10"/>
      <c r="K64" s="16"/>
      <c r="L64" s="16"/>
      <c r="M64" s="16"/>
      <c r="N64" s="16"/>
      <c r="O64" s="16"/>
      <c r="P64" s="16"/>
      <c r="Q64" s="16"/>
    </row>
    <row r="65" spans="1:17" ht="15" customHeight="1" thickBot="1">
      <c r="A65" s="340">
        <v>4</v>
      </c>
      <c r="B65" s="1075">
        <v>900</v>
      </c>
      <c r="C65" s="1075"/>
      <c r="D65" s="1100">
        <f>ROUND(B65+(B65*'Løntabel gældende fra'!$D$7%),2)</f>
        <v>1043.28</v>
      </c>
      <c r="E65" s="1101"/>
      <c r="F65" s="1075">
        <f>ROUND(D65/12,2)</f>
        <v>86.94</v>
      </c>
      <c r="G65" s="1076"/>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79" t="s">
        <v>311</v>
      </c>
      <c r="B67" s="1080"/>
      <c r="C67" s="1080"/>
      <c r="D67" s="1080"/>
      <c r="E67" s="1080"/>
      <c r="F67" s="1080"/>
      <c r="G67" s="1080"/>
      <c r="H67" s="1080"/>
      <c r="I67" s="1081"/>
    </row>
    <row r="68" spans="1:17" ht="20" customHeight="1" thickBot="1">
      <c r="A68" s="1170" t="s">
        <v>320</v>
      </c>
      <c r="B68" s="1171"/>
      <c r="C68" s="1171"/>
      <c r="D68" s="1171"/>
      <c r="E68" s="1171"/>
      <c r="F68" s="1171"/>
      <c r="G68" s="1171"/>
      <c r="H68" s="1171"/>
      <c r="I68" s="1172"/>
    </row>
    <row r="69" spans="1:17" ht="28" customHeight="1">
      <c r="A69" s="1230" t="s">
        <v>297</v>
      </c>
      <c r="B69" s="1231"/>
      <c r="C69" s="1231"/>
      <c r="D69" s="1231"/>
      <c r="E69" s="1231"/>
      <c r="F69" s="1232"/>
      <c r="G69" s="321" t="s">
        <v>131</v>
      </c>
      <c r="H69" s="321" t="s">
        <v>101</v>
      </c>
      <c r="I69" s="592" t="s">
        <v>278</v>
      </c>
    </row>
    <row r="70" spans="1:17" ht="15" customHeight="1" thickBot="1">
      <c r="A70" s="1230"/>
      <c r="B70" s="1231"/>
      <c r="C70" s="1231"/>
      <c r="D70" s="1231"/>
      <c r="E70" s="1231"/>
      <c r="F70" s="1232"/>
      <c r="G70" s="322">
        <f>C9</f>
        <v>40999</v>
      </c>
      <c r="H70" s="322">
        <f>C9</f>
        <v>40999</v>
      </c>
      <c r="I70" s="322" t="str">
        <f>'Løntabel gældende fra'!$D$1</f>
        <v>01/10/23</v>
      </c>
    </row>
    <row r="71" spans="1:17" ht="15" customHeight="1" thickBot="1">
      <c r="A71" s="1233"/>
      <c r="B71" s="1234"/>
      <c r="C71" s="1234"/>
      <c r="D71" s="1234"/>
      <c r="E71" s="1234"/>
      <c r="F71" s="1235"/>
      <c r="G71" s="158">
        <v>19300</v>
      </c>
      <c r="H71" s="162">
        <f>ROUND(G71/12,2)</f>
        <v>1608.33</v>
      </c>
      <c r="I71" s="977">
        <f>ROUND(H71+(H71*'Løntabel gældende fra'!$D$7%),2)</f>
        <v>1864.37</v>
      </c>
    </row>
    <row r="72" spans="1:17" ht="24" customHeight="1" thickBot="1">
      <c r="A72" s="7"/>
      <c r="B72" s="7"/>
      <c r="C72" s="7" t="s">
        <v>16</v>
      </c>
      <c r="D72" s="7"/>
      <c r="E72" s="7"/>
      <c r="F72" s="7"/>
      <c r="G72" s="7"/>
      <c r="H72" s="7"/>
      <c r="I72" s="7"/>
    </row>
    <row r="73" spans="1:17" ht="20" customHeight="1">
      <c r="A73" s="1079" t="s">
        <v>313</v>
      </c>
      <c r="B73" s="1080"/>
      <c r="C73" s="1080"/>
      <c r="D73" s="1080"/>
      <c r="E73" s="1080"/>
      <c r="F73" s="1080"/>
      <c r="G73" s="1080"/>
      <c r="H73" s="1080"/>
      <c r="I73" s="1081"/>
    </row>
    <row r="74" spans="1:17" ht="20" customHeight="1" thickBot="1">
      <c r="A74" s="1170" t="s">
        <v>312</v>
      </c>
      <c r="B74" s="1171"/>
      <c r="C74" s="1171"/>
      <c r="D74" s="1171"/>
      <c r="E74" s="1171"/>
      <c r="F74" s="1171"/>
      <c r="G74" s="1171"/>
      <c r="H74" s="1171"/>
      <c r="I74" s="1172"/>
    </row>
    <row r="75" spans="1:17" ht="28" customHeight="1">
      <c r="A75" s="1247" t="s">
        <v>442</v>
      </c>
      <c r="B75" s="1248"/>
      <c r="C75" s="1248"/>
      <c r="D75" s="1248"/>
      <c r="E75" s="1248"/>
      <c r="F75" s="1248"/>
      <c r="G75" s="1249"/>
      <c r="H75" s="406" t="s">
        <v>341</v>
      </c>
      <c r="I75" s="327" t="s">
        <v>342</v>
      </c>
    </row>
    <row r="76" spans="1:17" ht="34" customHeight="1" thickBot="1">
      <c r="A76" s="1250"/>
      <c r="B76" s="1251"/>
      <c r="C76" s="1251"/>
      <c r="D76" s="1251"/>
      <c r="E76" s="1251"/>
      <c r="F76" s="1251"/>
      <c r="G76" s="1252"/>
      <c r="H76" s="322">
        <f>C9</f>
        <v>40999</v>
      </c>
      <c r="I76" s="322" t="str">
        <f>'Løntabel gældende fra'!$D$1</f>
        <v>01/10/23</v>
      </c>
    </row>
    <row r="77" spans="1:17" ht="15" customHeight="1" thickBot="1">
      <c r="A77" s="1147" t="s">
        <v>14</v>
      </c>
      <c r="B77" s="1148"/>
      <c r="C77" s="1148"/>
      <c r="D77" s="1148"/>
      <c r="E77" s="1148"/>
      <c r="F77" s="1148"/>
      <c r="G77" s="1148"/>
      <c r="H77" s="162">
        <v>19</v>
      </c>
      <c r="I77" s="163">
        <f>ROUND(H77+H77*'Løntabel gældende fra'!$D$7%,2)</f>
        <v>22.02</v>
      </c>
    </row>
    <row r="78" spans="1:17" ht="24" customHeight="1" thickBot="1">
      <c r="A78" s="7"/>
      <c r="B78" s="7"/>
      <c r="C78" s="7"/>
      <c r="D78" s="7"/>
      <c r="E78" s="7"/>
      <c r="F78" s="7"/>
      <c r="G78" s="7"/>
      <c r="H78" s="7"/>
      <c r="I78" s="7"/>
    </row>
    <row r="79" spans="1:17" ht="20" customHeight="1">
      <c r="A79" s="1079" t="s">
        <v>526</v>
      </c>
      <c r="B79" s="1080"/>
      <c r="C79" s="1080"/>
      <c r="D79" s="1080"/>
      <c r="E79" s="1080"/>
      <c r="F79" s="1080"/>
      <c r="G79" s="1080"/>
      <c r="H79" s="1080"/>
      <c r="I79" s="1081"/>
    </row>
    <row r="80" spans="1:17" ht="20" customHeight="1" thickBot="1">
      <c r="A80" s="1170" t="s">
        <v>524</v>
      </c>
      <c r="B80" s="1171"/>
      <c r="C80" s="1171"/>
      <c r="D80" s="1171"/>
      <c r="E80" s="1171"/>
      <c r="F80" s="1171"/>
      <c r="G80" s="1171"/>
      <c r="H80" s="1171"/>
      <c r="I80" s="1172"/>
    </row>
    <row r="81" spans="1:22" ht="31" customHeight="1">
      <c r="A81" s="1219" t="s">
        <v>527</v>
      </c>
      <c r="B81" s="1220"/>
      <c r="C81" s="1220"/>
      <c r="D81" s="1220"/>
      <c r="E81" s="1220"/>
      <c r="F81" s="1220"/>
      <c r="G81" s="1221"/>
      <c r="H81" s="321" t="s">
        <v>341</v>
      </c>
      <c r="I81" s="592" t="s">
        <v>342</v>
      </c>
    </row>
    <row r="82" spans="1:22" ht="15" customHeight="1" thickBot="1">
      <c r="A82" s="1222"/>
      <c r="B82" s="1223"/>
      <c r="C82" s="1223"/>
      <c r="D82" s="1223"/>
      <c r="E82" s="1223"/>
      <c r="F82" s="1223"/>
      <c r="G82" s="1224"/>
      <c r="H82" s="322">
        <f>H76</f>
        <v>40999</v>
      </c>
      <c r="I82" s="322" t="str">
        <f>'Løntabel gældende fra'!$D$1</f>
        <v>01/10/23</v>
      </c>
    </row>
    <row r="83" spans="1:22" ht="15" customHeight="1" thickBot="1">
      <c r="A83" s="1225" t="s">
        <v>525</v>
      </c>
      <c r="B83" s="1226"/>
      <c r="C83" s="1226"/>
      <c r="D83" s="1226"/>
      <c r="E83" s="1226"/>
      <c r="F83" s="1226"/>
      <c r="G83" s="1227"/>
      <c r="H83" s="158">
        <v>267.31</v>
      </c>
      <c r="I83" s="159">
        <f>ROUND(H83+(H83*'Løntabel gældende fra'!$D$7%),2)</f>
        <v>309.86</v>
      </c>
    </row>
    <row r="84" spans="1:22" ht="15" customHeight="1" thickBot="1">
      <c r="A84" s="1216"/>
      <c r="B84" s="1217"/>
      <c r="C84" s="1217"/>
      <c r="D84" s="1217"/>
      <c r="E84" s="1217"/>
      <c r="F84" s="1217"/>
      <c r="G84" s="1217"/>
      <c r="H84" s="1217"/>
      <c r="I84" s="1218"/>
    </row>
    <row r="85" spans="1:22" ht="28" customHeight="1">
      <c r="A85" s="1079" t="s">
        <v>314</v>
      </c>
      <c r="B85" s="1080"/>
      <c r="C85" s="1080"/>
      <c r="D85" s="1080"/>
      <c r="E85" s="1080"/>
      <c r="F85" s="1080"/>
      <c r="G85" s="1080"/>
      <c r="H85" s="1080"/>
      <c r="I85" s="1081"/>
    </row>
    <row r="86" spans="1:22" ht="25" customHeight="1" thickBot="1">
      <c r="A86" s="1170" t="s">
        <v>312</v>
      </c>
      <c r="B86" s="1171"/>
      <c r="C86" s="1171"/>
      <c r="D86" s="1171"/>
      <c r="E86" s="1171"/>
      <c r="F86" s="1171"/>
      <c r="G86" s="1171"/>
      <c r="H86" s="1171"/>
      <c r="I86" s="1172"/>
      <c r="K86" s="16"/>
      <c r="L86" s="16"/>
      <c r="M86" s="16"/>
      <c r="N86" s="16"/>
      <c r="O86" s="16"/>
      <c r="P86" s="16"/>
      <c r="Q86" s="16"/>
    </row>
    <row r="87" spans="1:22" ht="27.75" customHeight="1">
      <c r="A87" s="1131"/>
      <c r="B87" s="1132"/>
      <c r="C87" s="1132"/>
      <c r="D87" s="1132"/>
      <c r="E87" s="1132"/>
      <c r="F87" s="1132"/>
      <c r="G87" s="1133"/>
      <c r="H87" s="323" t="s">
        <v>98</v>
      </c>
      <c r="I87" s="324" t="s">
        <v>103</v>
      </c>
      <c r="K87" s="16"/>
      <c r="L87" s="16"/>
      <c r="M87" s="16"/>
      <c r="N87" s="16"/>
      <c r="O87" s="16"/>
      <c r="P87" s="16"/>
      <c r="Q87" s="16"/>
    </row>
    <row r="88" spans="1:22" ht="16.5" customHeight="1" thickBot="1">
      <c r="A88" s="1134"/>
      <c r="B88" s="1135"/>
      <c r="C88" s="1135"/>
      <c r="D88" s="1135"/>
      <c r="E88" s="1135"/>
      <c r="F88" s="1135"/>
      <c r="G88" s="1136"/>
      <c r="H88" s="325">
        <f>C9</f>
        <v>40999</v>
      </c>
      <c r="I88" s="322" t="str">
        <f>'Løntabel gældende fra'!$D$1</f>
        <v>01/10/23</v>
      </c>
      <c r="K88" s="16"/>
      <c r="L88" s="16"/>
      <c r="M88" s="16"/>
      <c r="N88" s="16"/>
      <c r="O88" s="16"/>
      <c r="P88" s="16"/>
      <c r="Q88" s="16"/>
    </row>
    <row r="89" spans="1:22" customFormat="1" ht="24" customHeight="1">
      <c r="A89" s="1137" t="s">
        <v>18</v>
      </c>
      <c r="B89" s="1138"/>
      <c r="C89" s="1138"/>
      <c r="D89" s="1138"/>
      <c r="E89" s="1138"/>
      <c r="F89" s="1138"/>
      <c r="G89" s="1139"/>
      <c r="H89" s="199">
        <v>6.59</v>
      </c>
      <c r="I89" s="199">
        <f>ROUND(H89+H89*'Løntabel gældende fra'!$D$7%,2)</f>
        <v>7.64</v>
      </c>
    </row>
    <row r="90" spans="1:22" customFormat="1" ht="24" customHeight="1">
      <c r="A90" s="1140" t="s">
        <v>17</v>
      </c>
      <c r="B90" s="1141"/>
      <c r="C90" s="1141"/>
      <c r="D90" s="1141"/>
      <c r="E90" s="1141"/>
      <c r="F90" s="1141"/>
      <c r="G90" s="1142"/>
      <c r="H90" s="978">
        <v>61.22</v>
      </c>
      <c r="I90" s="978">
        <f>ROUND(H90+H90*'Løntabel gældende fra'!$D$7%,2)</f>
        <v>70.97</v>
      </c>
    </row>
    <row r="91" spans="1:22" customFormat="1" ht="24" customHeight="1">
      <c r="A91" s="1140" t="s">
        <v>530</v>
      </c>
      <c r="B91" s="1141"/>
      <c r="C91" s="1141"/>
      <c r="D91" s="1141"/>
      <c r="E91" s="1141"/>
      <c r="F91" s="1141"/>
      <c r="G91" s="1142"/>
      <c r="H91" s="978">
        <v>163.63999999999999</v>
      </c>
      <c r="I91" s="978">
        <f>ROUND(H91+H91*'Løntabel gældende fra'!$D$7%,2)</f>
        <v>189.69</v>
      </c>
    </row>
    <row r="92" spans="1:22" customFormat="1" ht="42" customHeight="1" thickBot="1">
      <c r="A92" s="1213" t="s">
        <v>531</v>
      </c>
      <c r="B92" s="1214"/>
      <c r="C92" s="1214"/>
      <c r="D92" s="1214"/>
      <c r="E92" s="1214"/>
      <c r="F92" s="1214"/>
      <c r="G92" s="1215"/>
      <c r="H92" s="200">
        <v>372.2</v>
      </c>
      <c r="I92" s="200">
        <f>ROUND(H92+H92*'Løntabel gældende fra'!$D$7%,2)</f>
        <v>431.45</v>
      </c>
    </row>
    <row r="93" spans="1:22" s="526" customFormat="1" ht="47" customHeight="1" thickBot="1">
      <c r="A93" s="1272" t="s">
        <v>528</v>
      </c>
      <c r="B93" s="1273"/>
      <c r="C93" s="1273"/>
      <c r="D93" s="1273"/>
      <c r="E93" s="1273"/>
      <c r="F93" s="1273"/>
      <c r="G93" s="1273"/>
      <c r="H93" s="1273"/>
      <c r="I93" s="1274"/>
      <c r="J93" s="527"/>
      <c r="K93" s="527"/>
      <c r="L93" s="527"/>
      <c r="M93" s="527"/>
      <c r="N93" s="527"/>
      <c r="O93" s="527"/>
      <c r="P93" s="527"/>
      <c r="Q93" s="527"/>
      <c r="R93" s="527"/>
      <c r="S93" s="527"/>
      <c r="T93" s="527"/>
      <c r="U93" s="527"/>
      <c r="V93" s="527"/>
    </row>
    <row r="94" spans="1:22" customFormat="1" ht="34" customHeight="1" thickBot="1">
      <c r="A94" s="1272" t="s">
        <v>529</v>
      </c>
      <c r="B94" s="1273"/>
      <c r="C94" s="1273"/>
      <c r="D94" s="1273"/>
      <c r="E94" s="1273"/>
      <c r="F94" s="1273"/>
      <c r="G94" s="1273"/>
      <c r="H94" s="1273"/>
      <c r="I94" s="1274"/>
    </row>
    <row r="95" spans="1:22" customFormat="1" ht="15" customHeight="1" thickBot="1">
      <c r="A95" s="69"/>
      <c r="B95" s="69"/>
      <c r="C95" s="69"/>
      <c r="D95" s="69"/>
      <c r="E95" s="69"/>
      <c r="F95" s="69"/>
      <c r="G95" s="69"/>
      <c r="H95" s="69"/>
      <c r="I95" s="69"/>
    </row>
    <row r="96" spans="1:22" customFormat="1" ht="24" customHeight="1" thickBot="1">
      <c r="A96" s="1207" t="s">
        <v>69</v>
      </c>
      <c r="B96" s="1208"/>
      <c r="C96" s="1208"/>
      <c r="D96" s="1208"/>
      <c r="E96" s="1208"/>
      <c r="F96" s="1208"/>
      <c r="G96" s="1209"/>
      <c r="H96" s="58"/>
    </row>
    <row r="97" spans="1:22" s="526" customFormat="1" ht="24" customHeight="1" thickBot="1">
      <c r="A97" s="1241" t="s">
        <v>70</v>
      </c>
      <c r="B97" s="1242"/>
      <c r="C97" s="1243"/>
      <c r="D97" s="1183">
        <v>40999</v>
      </c>
      <c r="E97" s="1184"/>
      <c r="F97" s="1184" t="str">
        <f>'Løntabel gældende fra'!$D$1</f>
        <v>01/10/23</v>
      </c>
      <c r="G97" s="1206"/>
      <c r="H97" s="60"/>
      <c r="I97"/>
      <c r="J97" s="527"/>
      <c r="K97" s="527"/>
      <c r="L97" s="527"/>
      <c r="M97" s="527"/>
      <c r="N97" s="527"/>
      <c r="O97" s="527"/>
      <c r="P97" s="527"/>
      <c r="Q97" s="527"/>
      <c r="R97" s="527"/>
      <c r="S97" s="527"/>
      <c r="T97" s="527"/>
      <c r="U97" s="527"/>
      <c r="V97" s="527"/>
    </row>
    <row r="98" spans="1:22" customFormat="1" ht="15" customHeight="1" thickBot="1">
      <c r="A98" s="1244"/>
      <c r="B98" s="1245"/>
      <c r="C98" s="1246"/>
      <c r="D98" s="1210" t="s">
        <v>315</v>
      </c>
      <c r="E98" s="1211"/>
      <c r="F98" s="1210" t="s">
        <v>315</v>
      </c>
      <c r="G98" s="1211"/>
      <c r="H98" s="527"/>
      <c r="I98" s="527"/>
    </row>
    <row r="99" spans="1:22" customFormat="1" ht="15" customHeight="1">
      <c r="A99" s="164" t="s">
        <v>71</v>
      </c>
      <c r="B99" s="165"/>
      <c r="C99" s="166"/>
      <c r="D99" s="167">
        <v>236</v>
      </c>
      <c r="E99" s="167">
        <v>334</v>
      </c>
      <c r="F99" s="528">
        <f>ROUND(D99+D99*'Løntabel gældende fra'!$D$7%,2)</f>
        <v>273.57</v>
      </c>
      <c r="G99" s="529">
        <f>ROUND(E99+E99*'Løntabel gældende fra'!$D$7%,2)</f>
        <v>387.17</v>
      </c>
      <c r="H99" s="53"/>
    </row>
    <row r="100" spans="1:22" ht="24" customHeight="1" thickBot="1">
      <c r="A100" s="119" t="s">
        <v>73</v>
      </c>
      <c r="B100" s="120"/>
      <c r="C100" s="168"/>
      <c r="D100" s="169">
        <v>170</v>
      </c>
      <c r="E100" s="169">
        <v>269</v>
      </c>
      <c r="F100" s="170">
        <f>ROUND(D100+D100*'Løntabel gældende fra'!$D$7%,2)</f>
        <v>197.06</v>
      </c>
      <c r="G100" s="171">
        <f>ROUND(E100+E100*'Løntabel gældende fra'!$D$7%,2)</f>
        <v>311.82</v>
      </c>
      <c r="H100" s="53"/>
      <c r="I100"/>
    </row>
    <row r="101" spans="1:22" customFormat="1" ht="24" customHeight="1" thickBot="1">
      <c r="A101" s="1108" t="s">
        <v>72</v>
      </c>
      <c r="B101" s="1109"/>
      <c r="C101" s="1188"/>
      <c r="D101" s="1144">
        <f>D97</f>
        <v>40999</v>
      </c>
      <c r="E101" s="1145"/>
      <c r="F101" s="1212" t="str">
        <f>'Løntabel gældende fra'!$D$1</f>
        <v>01/10/23</v>
      </c>
      <c r="G101" s="1206"/>
      <c r="H101" s="60"/>
    </row>
    <row r="102" spans="1:22" customFormat="1" ht="16" thickBot="1">
      <c r="A102" s="1105"/>
      <c r="B102" s="1106"/>
      <c r="C102" s="1107"/>
      <c r="D102" s="1210" t="s">
        <v>315</v>
      </c>
      <c r="E102" s="1211"/>
      <c r="F102" s="1210" t="s">
        <v>315</v>
      </c>
      <c r="G102" s="1211"/>
      <c r="H102" s="527"/>
      <c r="I102" s="527"/>
    </row>
    <row r="103" spans="1:22" customFormat="1" ht="15">
      <c r="A103" s="164" t="s">
        <v>71</v>
      </c>
      <c r="B103" s="165"/>
      <c r="C103" s="166"/>
      <c r="D103" s="167">
        <v>203</v>
      </c>
      <c r="E103" s="167">
        <v>334</v>
      </c>
      <c r="F103" s="172">
        <f>ROUND(D103+D103*'Løntabel gældende fra'!$D$7%,2)</f>
        <v>235.32</v>
      </c>
      <c r="G103" s="173">
        <f>ROUND(E103+E103*'Løntabel gældende fra'!$D$7%,2)</f>
        <v>387.17</v>
      </c>
      <c r="H103" s="53"/>
    </row>
    <row r="104" spans="1:22" customFormat="1" ht="42" customHeight="1" thickBot="1">
      <c r="A104" s="519" t="s">
        <v>73</v>
      </c>
      <c r="B104" s="520"/>
      <c r="C104" s="521"/>
      <c r="D104" s="174">
        <v>138</v>
      </c>
      <c r="E104" s="174">
        <v>269</v>
      </c>
      <c r="F104" s="175">
        <f>ROUND(D104+D104*'Løntabel gældende fra'!$D$7%,2)</f>
        <v>159.97</v>
      </c>
      <c r="G104" s="176">
        <f>ROUND(E104+E104*'Løntabel gældende fra'!$D$7%,2)</f>
        <v>311.82</v>
      </c>
      <c r="H104" s="53"/>
    </row>
    <row r="105" spans="1:22" customFormat="1" ht="16" thickBot="1">
      <c r="A105" s="7"/>
      <c r="B105" s="7"/>
      <c r="C105" s="7"/>
      <c r="D105" s="7"/>
      <c r="E105" s="7"/>
      <c r="F105" s="7"/>
      <c r="G105" s="7"/>
      <c r="H105" s="7"/>
      <c r="I105" s="7"/>
    </row>
    <row r="106" spans="1:22" customFormat="1" ht="19" thickBot="1">
      <c r="A106" s="1207" t="s">
        <v>60</v>
      </c>
      <c r="B106" s="1208"/>
      <c r="C106" s="1208"/>
      <c r="D106" s="1208"/>
      <c r="E106" s="1208"/>
      <c r="F106" s="1208"/>
      <c r="G106" s="1209"/>
    </row>
    <row r="107" spans="1:22" ht="12" customHeight="1" thickBot="1">
      <c r="A107" s="177"/>
      <c r="B107" s="178"/>
      <c r="C107" s="179"/>
      <c r="D107" s="1259">
        <v>40999</v>
      </c>
      <c r="E107" s="1260"/>
      <c r="F107" s="1277" t="str">
        <f>'Løntabel gældende fra'!$D$1</f>
        <v>01/10/23</v>
      </c>
      <c r="G107" s="1278"/>
      <c r="H107"/>
      <c r="I107"/>
    </row>
    <row r="108" spans="1:22" ht="20.25" customHeight="1" thickBot="1">
      <c r="A108" s="1115" t="s">
        <v>61</v>
      </c>
      <c r="B108" s="1116"/>
      <c r="C108" s="1116"/>
      <c r="D108" s="1181">
        <v>43.25</v>
      </c>
      <c r="E108" s="1182"/>
      <c r="F108" s="1117">
        <f>ROUND(D108+D108*'Løntabel gældende fra'!$D$7%,2)</f>
        <v>50.14</v>
      </c>
      <c r="G108" s="1118"/>
      <c r="H108"/>
      <c r="I108"/>
    </row>
    <row r="109" spans="1:22" ht="15">
      <c r="A109" s="1238" t="s">
        <v>225</v>
      </c>
      <c r="B109" s="1239"/>
      <c r="C109" s="1240"/>
      <c r="D109" s="1181">
        <v>9.17</v>
      </c>
      <c r="E109" s="1182"/>
      <c r="F109" s="1117">
        <f>ROUND(D109+D109*'Løntabel gældende fra'!$D$7%,2)</f>
        <v>10.63</v>
      </c>
      <c r="G109" s="1118"/>
      <c r="H109"/>
      <c r="I109"/>
    </row>
    <row r="110" spans="1:22" ht="18" customHeight="1" thickBot="1">
      <c r="A110" s="65" t="s">
        <v>62</v>
      </c>
      <c r="B110" s="66"/>
      <c r="C110" s="66"/>
      <c r="D110" s="1179">
        <v>4587.3100000000004</v>
      </c>
      <c r="E110" s="1180"/>
      <c r="F110" s="1275">
        <f>ROUND(D110+D110*'Løntabel gældende fra'!$D$7%,2)</f>
        <v>5317.6</v>
      </c>
      <c r="G110" s="1276"/>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090" t="s">
        <v>90</v>
      </c>
      <c r="B113" s="1091"/>
      <c r="C113" s="1091"/>
      <c r="D113" s="1091"/>
      <c r="E113" s="1091"/>
      <c r="F113" s="1091"/>
      <c r="G113" s="1091"/>
      <c r="H113" s="1091"/>
      <c r="I113" s="1092"/>
    </row>
    <row r="114" spans="1:10" ht="21" thickBot="1">
      <c r="A114" s="1261" t="str">
        <f>'Løntabel gældende fra'!$D$1</f>
        <v>01/10/23</v>
      </c>
      <c r="B114" s="1262"/>
      <c r="C114" s="1262"/>
      <c r="D114" s="1262"/>
      <c r="E114" s="1262"/>
      <c r="F114" s="1262"/>
      <c r="G114" s="1262"/>
      <c r="H114" s="1262"/>
      <c r="I114" s="1263"/>
    </row>
    <row r="115" spans="1:10" ht="19" thickBot="1">
      <c r="A115" s="1207" t="s">
        <v>88</v>
      </c>
      <c r="B115" s="1208"/>
      <c r="C115" s="1208"/>
      <c r="D115" s="1208"/>
      <c r="E115" s="1208"/>
      <c r="F115" s="1080"/>
      <c r="G115" s="1080"/>
      <c r="H115" s="1080"/>
      <c r="I115" s="1081"/>
    </row>
    <row r="116" spans="1:10" ht="15" customHeight="1">
      <c r="A116" s="1268" t="s">
        <v>0</v>
      </c>
      <c r="B116" s="1108" t="s">
        <v>20</v>
      </c>
      <c r="C116" s="1109"/>
      <c r="D116" s="1109"/>
      <c r="E116" s="1109"/>
      <c r="F116" s="1279" t="s">
        <v>417</v>
      </c>
      <c r="G116" s="1280"/>
      <c r="H116" s="1236">
        <v>0.17299999999999999</v>
      </c>
      <c r="I116" s="1237"/>
    </row>
    <row r="117" spans="1:10" ht="18" customHeight="1" thickBot="1">
      <c r="A117" s="1268"/>
      <c r="B117" s="1105"/>
      <c r="C117" s="1106"/>
      <c r="D117" s="1106"/>
      <c r="E117" s="1106"/>
      <c r="F117" s="1254" t="s">
        <v>426</v>
      </c>
      <c r="G117" s="1255"/>
      <c r="H117" s="1255"/>
      <c r="I117" s="1256"/>
    </row>
    <row r="118" spans="1:10" ht="18" customHeight="1">
      <c r="A118" s="155">
        <v>1</v>
      </c>
      <c r="B118" s="1068">
        <f>H10</f>
        <v>26206.35</v>
      </c>
      <c r="C118" s="1069"/>
      <c r="D118" s="1069"/>
      <c r="E118" s="1070"/>
      <c r="F118" s="1068">
        <f>ROUND(B118*$H$116,2)</f>
        <v>4533.7</v>
      </c>
      <c r="G118" s="1069"/>
      <c r="H118" s="1069"/>
      <c r="I118" s="1070"/>
    </row>
    <row r="119" spans="1:10" ht="14" customHeight="1">
      <c r="A119" s="90">
        <v>2</v>
      </c>
      <c r="B119" s="1071">
        <f>H11</f>
        <v>27472.49</v>
      </c>
      <c r="C119" s="1072"/>
      <c r="D119" s="1072"/>
      <c r="E119" s="1073"/>
      <c r="F119" s="1071">
        <f>ROUND(B119*$H$116,2)</f>
        <v>4752.74</v>
      </c>
      <c r="G119" s="1072"/>
      <c r="H119" s="1072"/>
      <c r="I119" s="1073"/>
    </row>
    <row r="120" spans="1:10" ht="15" customHeight="1">
      <c r="A120" s="90">
        <v>3</v>
      </c>
      <c r="B120" s="1071">
        <f>H12</f>
        <v>28497.99</v>
      </c>
      <c r="C120" s="1072"/>
      <c r="D120" s="1072"/>
      <c r="E120" s="1073"/>
      <c r="F120" s="1071">
        <f>ROUND(B120*$H$116,2)</f>
        <v>4930.1499999999996</v>
      </c>
      <c r="G120" s="1072"/>
      <c r="H120" s="1072"/>
      <c r="I120" s="1073"/>
    </row>
    <row r="121" spans="1:10" ht="15" thickBot="1">
      <c r="A121" s="91">
        <v>4</v>
      </c>
      <c r="B121" s="1074">
        <f>H13</f>
        <v>30308.560000000001</v>
      </c>
      <c r="C121" s="1075"/>
      <c r="D121" s="1075"/>
      <c r="E121" s="1076"/>
      <c r="F121" s="1074">
        <f>ROUND(B121*$H$116,2)</f>
        <v>5243.38</v>
      </c>
      <c r="G121" s="1075"/>
      <c r="H121" s="1075"/>
      <c r="I121" s="1076"/>
      <c r="J121" s="39"/>
    </row>
    <row r="122" spans="1:10" ht="19" thickBot="1">
      <c r="A122" s="1079" t="s">
        <v>89</v>
      </c>
      <c r="B122" s="1080"/>
      <c r="C122" s="1080"/>
      <c r="D122" s="1080"/>
      <c r="E122" s="1080"/>
      <c r="F122" s="1080"/>
      <c r="G122" s="1080"/>
      <c r="H122" s="1080"/>
      <c r="I122" s="1081"/>
    </row>
    <row r="123" spans="1:10">
      <c r="A123" s="1271" t="s">
        <v>0</v>
      </c>
      <c r="B123" s="1166" t="s">
        <v>136</v>
      </c>
      <c r="C123" s="1108" t="s">
        <v>23</v>
      </c>
      <c r="D123" s="1109"/>
      <c r="E123" s="1109"/>
      <c r="F123" s="1108" t="s">
        <v>24</v>
      </c>
      <c r="G123" s="1109"/>
      <c r="H123" s="1082" t="s">
        <v>93</v>
      </c>
      <c r="I123" s="1083"/>
    </row>
    <row r="124" spans="1:10" ht="15" thickBot="1">
      <c r="A124" s="1268"/>
      <c r="B124" s="1112"/>
      <c r="C124" s="1077">
        <f>B52</f>
        <v>40999</v>
      </c>
      <c r="D124" s="1078"/>
      <c r="E124" s="1078"/>
      <c r="F124" s="1077" t="str">
        <f>'Løntabel gældende fra'!$D$1</f>
        <v>01/10/23</v>
      </c>
      <c r="G124" s="1078"/>
      <c r="H124" s="1084"/>
      <c r="I124" s="1085"/>
    </row>
    <row r="125" spans="1:10" ht="16" thickBot="1">
      <c r="A125" s="1268"/>
      <c r="B125" s="1112"/>
      <c r="C125" s="1082" t="s">
        <v>86</v>
      </c>
      <c r="D125" s="1083"/>
      <c r="E125" s="592" t="s">
        <v>87</v>
      </c>
      <c r="F125" s="592" t="s">
        <v>86</v>
      </c>
      <c r="G125" s="643" t="s">
        <v>87</v>
      </c>
      <c r="H125" s="1086">
        <v>0.15</v>
      </c>
      <c r="I125" s="1087"/>
    </row>
    <row r="126" spans="1:10">
      <c r="A126" s="134">
        <v>1</v>
      </c>
      <c r="B126" s="359">
        <v>21</v>
      </c>
      <c r="C126" s="1096">
        <f>+'Statens skalatrin'!N66</f>
        <v>241583.32</v>
      </c>
      <c r="D126" s="1097"/>
      <c r="E126" s="160">
        <f>ROUND(C126/12,2)</f>
        <v>20131.939999999999</v>
      </c>
      <c r="F126" s="209">
        <f>ROUND(C126*(1+'Løntabel gældende fra'!$D$7/100),0)</f>
        <v>280043</v>
      </c>
      <c r="G126" s="160">
        <f>ROUND(F126/12,2)</f>
        <v>23336.92</v>
      </c>
      <c r="H126" s="1088">
        <f>ROUND(G126*$H$125,2)</f>
        <v>3500.54</v>
      </c>
      <c r="I126" s="1089"/>
    </row>
    <row r="127" spans="1:10">
      <c r="A127" s="645">
        <v>1</v>
      </c>
      <c r="B127" s="646">
        <v>23</v>
      </c>
      <c r="C127" s="1098">
        <f>+'Statens skalatrin'!N72</f>
        <v>250472.55</v>
      </c>
      <c r="D127" s="1099"/>
      <c r="E127" s="181">
        <f t="shared" ref="E127:E139" si="4">ROUND(C127/12,2)</f>
        <v>20872.71</v>
      </c>
      <c r="F127" s="210">
        <f>ROUND(C127*(1+'Løntabel gældende fra'!$D$7/100),0)</f>
        <v>290347</v>
      </c>
      <c r="G127" s="181">
        <f t="shared" ref="G127:G137" si="5">ROUND(F127/12,2)</f>
        <v>24195.58</v>
      </c>
      <c r="H127" s="1088">
        <f t="shared" ref="H127:H139" si="6">ROUND(G127*$H$125,2)</f>
        <v>3629.34</v>
      </c>
      <c r="I127" s="1089"/>
    </row>
    <row r="128" spans="1:10">
      <c r="A128" s="645">
        <v>2</v>
      </c>
      <c r="B128" s="646">
        <v>25</v>
      </c>
      <c r="C128" s="1098">
        <f>+'Statens skalatrin'!N78</f>
        <v>259721.7</v>
      </c>
      <c r="D128" s="1099"/>
      <c r="E128" s="181">
        <f t="shared" si="4"/>
        <v>21643.48</v>
      </c>
      <c r="F128" s="210">
        <f>ROUND(C128*(1+'Løntabel gældende fra'!$D$7/100),0)</f>
        <v>301069</v>
      </c>
      <c r="G128" s="181">
        <f t="shared" si="5"/>
        <v>25089.08</v>
      </c>
      <c r="H128" s="1088">
        <f t="shared" si="6"/>
        <v>3763.36</v>
      </c>
      <c r="I128" s="1089"/>
    </row>
    <row r="129" spans="1:9">
      <c r="A129" s="645">
        <v>2</v>
      </c>
      <c r="B129" s="646">
        <v>27</v>
      </c>
      <c r="C129" s="1098">
        <f>+'Statens skalatrin'!N84</f>
        <v>269459.90000000002</v>
      </c>
      <c r="D129" s="1099"/>
      <c r="E129" s="181">
        <f t="shared" si="4"/>
        <v>22454.99</v>
      </c>
      <c r="F129" s="210">
        <f>ROUND(C129*(1+'Løntabel gældende fra'!$D$7/100),0)</f>
        <v>312357</v>
      </c>
      <c r="G129" s="181">
        <f t="shared" si="5"/>
        <v>26029.75</v>
      </c>
      <c r="H129" s="1088">
        <f t="shared" si="6"/>
        <v>3904.46</v>
      </c>
      <c r="I129" s="1089"/>
    </row>
    <row r="130" spans="1:9">
      <c r="A130" s="645">
        <v>3</v>
      </c>
      <c r="B130" s="646">
        <v>28</v>
      </c>
      <c r="C130" s="1098">
        <f>+'Statens skalatrin'!N87</f>
        <v>274522.23</v>
      </c>
      <c r="D130" s="1099"/>
      <c r="E130" s="181">
        <f t="shared" si="4"/>
        <v>22876.85</v>
      </c>
      <c r="F130" s="210">
        <f>ROUND(C130*(1+'Løntabel gældende fra'!$D$7/100),0)</f>
        <v>318225</v>
      </c>
      <c r="G130" s="181">
        <f t="shared" si="5"/>
        <v>26518.75</v>
      </c>
      <c r="H130" s="1088">
        <f t="shared" si="6"/>
        <v>3977.81</v>
      </c>
      <c r="I130" s="1089"/>
    </row>
    <row r="131" spans="1:9">
      <c r="A131" s="645">
        <v>3</v>
      </c>
      <c r="B131" s="646">
        <v>29</v>
      </c>
      <c r="C131" s="1098">
        <f>+'Statens skalatrin'!N90</f>
        <v>279714.99</v>
      </c>
      <c r="D131" s="1099"/>
      <c r="E131" s="181">
        <f t="shared" si="4"/>
        <v>23309.58</v>
      </c>
      <c r="F131" s="210">
        <f>ROUND(C131*(1+'Løntabel gældende fra'!$D$7/100),0)</f>
        <v>324245</v>
      </c>
      <c r="G131" s="181">
        <f t="shared" si="5"/>
        <v>27020.42</v>
      </c>
      <c r="H131" s="1088">
        <f t="shared" si="6"/>
        <v>4053.06</v>
      </c>
      <c r="I131" s="1089"/>
    </row>
    <row r="132" spans="1:9">
      <c r="A132" s="645">
        <v>3</v>
      </c>
      <c r="B132" s="646">
        <v>30</v>
      </c>
      <c r="C132" s="1098">
        <f>+'Statens skalatrin'!N93</f>
        <v>285044.74</v>
      </c>
      <c r="D132" s="1099"/>
      <c r="E132" s="181">
        <f t="shared" si="4"/>
        <v>23753.73</v>
      </c>
      <c r="F132" s="210">
        <f>ROUND(C132*(1+'Løntabel gældende fra'!$D$7/100),0)</f>
        <v>330423</v>
      </c>
      <c r="G132" s="181">
        <f t="shared" si="5"/>
        <v>27535.25</v>
      </c>
      <c r="H132" s="1088">
        <f t="shared" si="6"/>
        <v>4130.29</v>
      </c>
      <c r="I132" s="1089"/>
    </row>
    <row r="133" spans="1:9">
      <c r="A133" s="645">
        <v>3</v>
      </c>
      <c r="B133" s="646">
        <v>31</v>
      </c>
      <c r="C133" s="1098">
        <f>+'Statens skalatrin'!N96</f>
        <v>290512.64000000001</v>
      </c>
      <c r="D133" s="1099"/>
      <c r="E133" s="181">
        <f t="shared" si="4"/>
        <v>24209.39</v>
      </c>
      <c r="F133" s="210">
        <f>ROUND(C133*(1+'Løntabel gældende fra'!$D$7/100),0)</f>
        <v>336761</v>
      </c>
      <c r="G133" s="181">
        <f t="shared" si="5"/>
        <v>28063.42</v>
      </c>
      <c r="H133" s="1088">
        <f t="shared" si="6"/>
        <v>4209.51</v>
      </c>
      <c r="I133" s="1089"/>
    </row>
    <row r="134" spans="1:9" ht="15" customHeight="1">
      <c r="A134" s="645">
        <v>28</v>
      </c>
      <c r="B134" s="646">
        <v>28</v>
      </c>
      <c r="C134" s="1098">
        <f>+C130</f>
        <v>274522.23</v>
      </c>
      <c r="D134" s="1099"/>
      <c r="E134" s="181">
        <f t="shared" si="4"/>
        <v>22876.85</v>
      </c>
      <c r="F134" s="210">
        <f>ROUND(C134*(1+'Løntabel gældende fra'!$D$7/100),0)</f>
        <v>318225</v>
      </c>
      <c r="G134" s="181">
        <f t="shared" si="5"/>
        <v>26518.75</v>
      </c>
      <c r="H134" s="1088">
        <f t="shared" si="6"/>
        <v>3977.81</v>
      </c>
      <c r="I134" s="1089"/>
    </row>
    <row r="135" spans="1:9" ht="15" customHeight="1">
      <c r="A135" s="645">
        <v>29</v>
      </c>
      <c r="B135" s="646">
        <v>29</v>
      </c>
      <c r="C135" s="1098">
        <f>+C131</f>
        <v>279714.99</v>
      </c>
      <c r="D135" s="1099"/>
      <c r="E135" s="181">
        <f t="shared" si="4"/>
        <v>23309.58</v>
      </c>
      <c r="F135" s="210">
        <f>ROUND(C135*(1+'Løntabel gældende fra'!$D$7/100),0)</f>
        <v>324245</v>
      </c>
      <c r="G135" s="181">
        <f t="shared" si="5"/>
        <v>27020.42</v>
      </c>
      <c r="H135" s="1088">
        <f t="shared" si="6"/>
        <v>4053.06</v>
      </c>
      <c r="I135" s="1089"/>
    </row>
    <row r="136" spans="1:9" ht="17.25" customHeight="1">
      <c r="A136" s="645">
        <v>30</v>
      </c>
      <c r="B136" s="646">
        <v>30</v>
      </c>
      <c r="C136" s="1098">
        <f>+C132</f>
        <v>285044.74</v>
      </c>
      <c r="D136" s="1099"/>
      <c r="E136" s="181">
        <f t="shared" si="4"/>
        <v>23753.73</v>
      </c>
      <c r="F136" s="210">
        <f>ROUND(C136*(1+'Løntabel gældende fra'!$D$7/100),0)</f>
        <v>330423</v>
      </c>
      <c r="G136" s="181">
        <f t="shared" si="5"/>
        <v>27535.25</v>
      </c>
      <c r="H136" s="1088">
        <f t="shared" si="6"/>
        <v>4130.29</v>
      </c>
      <c r="I136" s="1089"/>
    </row>
    <row r="137" spans="1:9" ht="14.25" customHeight="1">
      <c r="A137" s="645">
        <v>31</v>
      </c>
      <c r="B137" s="646">
        <v>31</v>
      </c>
      <c r="C137" s="1098">
        <f>+C133</f>
        <v>290512.64000000001</v>
      </c>
      <c r="D137" s="1099"/>
      <c r="E137" s="181">
        <f t="shared" si="4"/>
        <v>24209.39</v>
      </c>
      <c r="F137" s="210">
        <f>ROUND(C137*(1+'Løntabel gældende fra'!$D$7/100),0)</f>
        <v>336761</v>
      </c>
      <c r="G137" s="181">
        <f t="shared" si="5"/>
        <v>28063.42</v>
      </c>
      <c r="H137" s="1088">
        <f t="shared" si="6"/>
        <v>4209.51</v>
      </c>
      <c r="I137" s="1089"/>
    </row>
    <row r="138" spans="1:9">
      <c r="A138" s="645">
        <v>32</v>
      </c>
      <c r="B138" s="646">
        <v>32</v>
      </c>
      <c r="C138" s="1098">
        <f>+'Statens skalatrin'!N99</f>
        <v>296125.21000000002</v>
      </c>
      <c r="D138" s="1099"/>
      <c r="E138" s="181">
        <f t="shared" si="4"/>
        <v>24677.1</v>
      </c>
      <c r="F138" s="210">
        <f>ROUND(C138*(1+'Løntabel gældende fra'!$D$7/100),0)</f>
        <v>343267</v>
      </c>
      <c r="G138" s="181">
        <f>ROUND(F138/12,2)</f>
        <v>28605.58</v>
      </c>
      <c r="H138" s="1088">
        <f t="shared" si="6"/>
        <v>4290.84</v>
      </c>
      <c r="I138" s="1089"/>
    </row>
    <row r="139" spans="1:9" ht="15" thickBot="1">
      <c r="A139" s="140">
        <v>33</v>
      </c>
      <c r="B139" s="360">
        <v>33</v>
      </c>
      <c r="C139" s="1100">
        <f>+'Statens skalatrin'!N102</f>
        <v>301881.8</v>
      </c>
      <c r="D139" s="1101"/>
      <c r="E139" s="161">
        <f t="shared" si="4"/>
        <v>25156.82</v>
      </c>
      <c r="F139" s="211">
        <f>ROUND(C139*(1+'Løntabel gældende fra'!$D$7/100),0)</f>
        <v>349940</v>
      </c>
      <c r="G139" s="161">
        <f>ROUND(F139/12,2)</f>
        <v>29161.67</v>
      </c>
      <c r="H139" s="1088">
        <f t="shared" si="6"/>
        <v>4374.25</v>
      </c>
      <c r="I139" s="1089"/>
    </row>
    <row r="140" spans="1:9" ht="20">
      <c r="A140" s="1090" t="s">
        <v>91</v>
      </c>
      <c r="B140" s="1091"/>
      <c r="C140" s="1091"/>
      <c r="D140" s="1091"/>
      <c r="E140" s="1091"/>
      <c r="F140" s="1091"/>
      <c r="G140" s="1091"/>
      <c r="H140" s="1091"/>
      <c r="I140" s="1092"/>
    </row>
    <row r="141" spans="1:9" ht="20">
      <c r="A141" s="1093" t="str">
        <f>'Løntabel gældende fra'!$D$1</f>
        <v>01/10/23</v>
      </c>
      <c r="B141" s="1094"/>
      <c r="C141" s="1094"/>
      <c r="D141" s="1094"/>
      <c r="E141" s="1094"/>
      <c r="F141" s="1094"/>
      <c r="G141" s="1094"/>
      <c r="H141" s="1094"/>
      <c r="I141" s="1095"/>
    </row>
    <row r="142" spans="1:9" ht="19" thickBot="1">
      <c r="A142" s="1264" t="s">
        <v>88</v>
      </c>
      <c r="B142" s="1265"/>
      <c r="C142" s="1265"/>
      <c r="D142" s="1265"/>
      <c r="E142" s="1265"/>
      <c r="F142" s="1266"/>
      <c r="G142" s="1266"/>
      <c r="H142" s="1266"/>
      <c r="I142" s="1267"/>
    </row>
    <row r="143" spans="1:9">
      <c r="A143" s="1268" t="s">
        <v>0</v>
      </c>
      <c r="B143" s="1108" t="s">
        <v>20</v>
      </c>
      <c r="C143" s="1109"/>
      <c r="D143" s="1109"/>
      <c r="E143" s="1109"/>
      <c r="F143" s="1103" t="s">
        <v>93</v>
      </c>
      <c r="G143" s="1104"/>
      <c r="H143" s="711">
        <v>0.17299999999999999</v>
      </c>
      <c r="I143" s="712"/>
    </row>
    <row r="144" spans="1:9" ht="15" thickBot="1">
      <c r="A144" s="1269"/>
      <c r="B144" s="1105"/>
      <c r="C144" s="1106"/>
      <c r="D144" s="1106"/>
      <c r="E144" s="1106"/>
      <c r="F144" s="1105" t="s">
        <v>426</v>
      </c>
      <c r="G144" s="1106"/>
      <c r="H144" s="1106"/>
      <c r="I144" s="1107"/>
    </row>
    <row r="145" spans="1:10">
      <c r="A145" s="155">
        <v>1</v>
      </c>
      <c r="B145" s="1068">
        <f>E10</f>
        <v>27018.47</v>
      </c>
      <c r="C145" s="1069"/>
      <c r="D145" s="1069"/>
      <c r="E145" s="1069"/>
      <c r="F145" s="1068">
        <f>ROUND(B145*$H$143,2)</f>
        <v>4674.2</v>
      </c>
      <c r="G145" s="1069"/>
      <c r="H145" s="1069"/>
      <c r="I145" s="1070"/>
    </row>
    <row r="146" spans="1:10" ht="15" customHeight="1">
      <c r="A146" s="90">
        <v>2</v>
      </c>
      <c r="B146" s="1071">
        <f>E11</f>
        <v>28790.98</v>
      </c>
      <c r="C146" s="1072"/>
      <c r="D146" s="1072"/>
      <c r="E146" s="1072"/>
      <c r="F146" s="1071">
        <f t="shared" ref="F146:F148" si="7">ROUND(B146*$H$143,2)</f>
        <v>4980.84</v>
      </c>
      <c r="G146" s="1072"/>
      <c r="H146" s="1072"/>
      <c r="I146" s="1073"/>
    </row>
    <row r="147" spans="1:10">
      <c r="A147" s="90">
        <v>3</v>
      </c>
      <c r="B147" s="1071">
        <f>E12</f>
        <v>31462.44</v>
      </c>
      <c r="C147" s="1072"/>
      <c r="D147" s="1072"/>
      <c r="E147" s="1072"/>
      <c r="F147" s="1071">
        <f t="shared" si="7"/>
        <v>5443</v>
      </c>
      <c r="G147" s="1072"/>
      <c r="H147" s="1072"/>
      <c r="I147" s="1073"/>
    </row>
    <row r="148" spans="1:10" ht="19" customHeight="1" thickBot="1">
      <c r="A148" s="91">
        <v>4</v>
      </c>
      <c r="B148" s="1074">
        <f>E13</f>
        <v>33943.99</v>
      </c>
      <c r="C148" s="1075"/>
      <c r="D148" s="1075"/>
      <c r="E148" s="1075"/>
      <c r="F148" s="1074">
        <f t="shared" si="7"/>
        <v>5872.31</v>
      </c>
      <c r="G148" s="1075"/>
      <c r="H148" s="1075"/>
      <c r="I148" s="1076"/>
    </row>
    <row r="149" spans="1:10" ht="14" customHeight="1" thickBot="1">
      <c r="A149" s="1207" t="s">
        <v>89</v>
      </c>
      <c r="B149" s="1208"/>
      <c r="C149" s="1208"/>
      <c r="D149" s="1208"/>
      <c r="E149" s="1208"/>
      <c r="F149" s="1208"/>
      <c r="G149" s="1208"/>
      <c r="H149" s="1208"/>
      <c r="I149" s="402"/>
      <c r="J149" s="45"/>
    </row>
    <row r="150" spans="1:10">
      <c r="A150" s="1112" t="s">
        <v>104</v>
      </c>
      <c r="B150" s="1112" t="s">
        <v>136</v>
      </c>
      <c r="C150" s="1113" t="s">
        <v>23</v>
      </c>
      <c r="D150" s="1113"/>
      <c r="E150" s="1113"/>
      <c r="F150" s="1114" t="s">
        <v>24</v>
      </c>
      <c r="G150" s="1113"/>
      <c r="H150" s="1082" t="s">
        <v>93</v>
      </c>
      <c r="I150" s="1083"/>
    </row>
    <row r="151" spans="1:10" ht="15" thickBot="1">
      <c r="A151" s="1112"/>
      <c r="B151" s="1112"/>
      <c r="C151" s="1078">
        <v>40999</v>
      </c>
      <c r="D151" s="1078"/>
      <c r="E151" s="1078"/>
      <c r="F151" s="1077" t="str">
        <f>'Løntabel gældende fra'!$D$1</f>
        <v>01/10/23</v>
      </c>
      <c r="G151" s="1078"/>
      <c r="H151" s="1084"/>
      <c r="I151" s="1085"/>
    </row>
    <row r="152" spans="1:10" ht="16" thickBot="1">
      <c r="A152" s="1165"/>
      <c r="B152" s="1112"/>
      <c r="C152" s="1270" t="s">
        <v>86</v>
      </c>
      <c r="D152" s="1083"/>
      <c r="E152" s="592" t="s">
        <v>87</v>
      </c>
      <c r="F152" s="327" t="s">
        <v>86</v>
      </c>
      <c r="G152" s="643" t="s">
        <v>87</v>
      </c>
      <c r="H152" s="1110">
        <v>0.15</v>
      </c>
      <c r="I152" s="1111"/>
    </row>
    <row r="153" spans="1:10">
      <c r="A153" s="134">
        <v>1</v>
      </c>
      <c r="B153" s="359">
        <v>24</v>
      </c>
      <c r="C153" s="1096">
        <f>+'Statens skalatrin'!N75</f>
        <v>255037.97</v>
      </c>
      <c r="D153" s="1097"/>
      <c r="E153" s="160">
        <f>ROUND(C153/12,2)</f>
        <v>21253.16</v>
      </c>
      <c r="F153" s="209">
        <f>ROUND(C153*(1+'Løntabel gældende fra'!$D$7/100),0)</f>
        <v>295639</v>
      </c>
      <c r="G153" s="160">
        <f>ROUND(F153/12,2)</f>
        <v>24636.58</v>
      </c>
      <c r="H153" s="1088">
        <f>ROUND(G153*$H$152,2)</f>
        <v>3695.49</v>
      </c>
      <c r="I153" s="1089"/>
    </row>
    <row r="154" spans="1:10">
      <c r="A154" s="645">
        <v>1</v>
      </c>
      <c r="B154" s="646">
        <v>25</v>
      </c>
      <c r="C154" s="1098">
        <f>+'Statens skalatrin'!N78</f>
        <v>259721.7</v>
      </c>
      <c r="D154" s="1099"/>
      <c r="E154" s="181">
        <f t="shared" ref="E154:E167" si="8">ROUND(C154/12,2)</f>
        <v>21643.48</v>
      </c>
      <c r="F154" s="210">
        <f>ROUND(C154*(1+'Løntabel gældende fra'!$D$7/100),0)</f>
        <v>301069</v>
      </c>
      <c r="G154" s="181">
        <f t="shared" ref="G154:G167" si="9">ROUND(F154/12,2)</f>
        <v>25089.08</v>
      </c>
      <c r="H154" s="1088">
        <f t="shared" ref="H154:H167" si="10">ROUND(G154*$H$152,2)</f>
        <v>3763.36</v>
      </c>
      <c r="I154" s="1089"/>
    </row>
    <row r="155" spans="1:10">
      <c r="A155" s="645">
        <v>2</v>
      </c>
      <c r="B155" s="646">
        <v>27</v>
      </c>
      <c r="C155" s="1098">
        <f>+'Statens skalatrin'!N84</f>
        <v>269459.90000000002</v>
      </c>
      <c r="D155" s="1099"/>
      <c r="E155" s="181">
        <f t="shared" si="8"/>
        <v>22454.99</v>
      </c>
      <c r="F155" s="210">
        <f>ROUND(C155*(1+'Løntabel gældende fra'!$D$7/100),0)</f>
        <v>312357</v>
      </c>
      <c r="G155" s="181">
        <f t="shared" si="9"/>
        <v>26029.75</v>
      </c>
      <c r="H155" s="1088">
        <f t="shared" si="10"/>
        <v>3904.46</v>
      </c>
      <c r="I155" s="1089"/>
    </row>
    <row r="156" spans="1:10">
      <c r="A156" s="645">
        <v>2</v>
      </c>
      <c r="B156" s="646">
        <v>29</v>
      </c>
      <c r="C156" s="1098">
        <f>+'Statens skalatrin'!N90</f>
        <v>279714.99</v>
      </c>
      <c r="D156" s="1099"/>
      <c r="E156" s="181">
        <f t="shared" si="8"/>
        <v>23309.58</v>
      </c>
      <c r="F156" s="210">
        <f>ROUND(C156*(1+'Løntabel gældende fra'!$D$7/100),0)</f>
        <v>324245</v>
      </c>
      <c r="G156" s="181">
        <f t="shared" si="9"/>
        <v>27020.42</v>
      </c>
      <c r="H156" s="1088">
        <f t="shared" si="10"/>
        <v>4053.06</v>
      </c>
      <c r="I156" s="1089"/>
    </row>
    <row r="157" spans="1:10">
      <c r="A157" s="645">
        <v>3</v>
      </c>
      <c r="B157" s="646">
        <v>31</v>
      </c>
      <c r="C157" s="1098">
        <f>+'Statens skalatrin'!N96</f>
        <v>290512.64000000001</v>
      </c>
      <c r="D157" s="1099"/>
      <c r="E157" s="181">
        <f t="shared" si="8"/>
        <v>24209.39</v>
      </c>
      <c r="F157" s="210">
        <f>ROUND(C157*(1+'Løntabel gældende fra'!$D$7/100),0)</f>
        <v>336761</v>
      </c>
      <c r="G157" s="181">
        <f t="shared" si="9"/>
        <v>28063.42</v>
      </c>
      <c r="H157" s="1088">
        <f t="shared" si="10"/>
        <v>4209.51</v>
      </c>
      <c r="I157" s="1089"/>
    </row>
    <row r="158" spans="1:10">
      <c r="A158" s="645">
        <v>3</v>
      </c>
      <c r="B158" s="646">
        <v>33</v>
      </c>
      <c r="C158" s="1098">
        <f>+'Statens skalatrin'!N102</f>
        <v>301881.8</v>
      </c>
      <c r="D158" s="1099"/>
      <c r="E158" s="181">
        <f t="shared" si="8"/>
        <v>25156.82</v>
      </c>
      <c r="F158" s="210">
        <f>ROUND(C158*(1+'Løntabel gældende fra'!$D$7/100),0)</f>
        <v>349940</v>
      </c>
      <c r="G158" s="181">
        <f t="shared" si="9"/>
        <v>29161.67</v>
      </c>
      <c r="H158" s="1088">
        <f t="shared" si="10"/>
        <v>4374.25</v>
      </c>
      <c r="I158" s="1089"/>
    </row>
    <row r="159" spans="1:10">
      <c r="A159" s="645">
        <v>3</v>
      </c>
      <c r="B159" s="646">
        <v>35</v>
      </c>
      <c r="C159" s="1098">
        <f>+'Statens skalatrin'!N108</f>
        <v>313854.56</v>
      </c>
      <c r="D159" s="1099"/>
      <c r="E159" s="181">
        <f t="shared" si="8"/>
        <v>26154.55</v>
      </c>
      <c r="F159" s="210">
        <f>ROUND(C159*(1+'Løntabel gældende fra'!$D$7/100),0)</f>
        <v>363819</v>
      </c>
      <c r="G159" s="181">
        <f t="shared" si="9"/>
        <v>30318.25</v>
      </c>
      <c r="H159" s="1088">
        <f t="shared" si="10"/>
        <v>4547.74</v>
      </c>
      <c r="I159" s="1089"/>
    </row>
    <row r="160" spans="1:10">
      <c r="A160" s="645">
        <v>3</v>
      </c>
      <c r="B160" s="646">
        <v>37</v>
      </c>
      <c r="C160" s="1098">
        <f>+'Statens skalatrin'!N114</f>
        <v>326457.34000000003</v>
      </c>
      <c r="D160" s="1099"/>
      <c r="E160" s="181">
        <f t="shared" si="8"/>
        <v>27204.78</v>
      </c>
      <c r="F160" s="210">
        <f>ROUND(C160*(1+'Løntabel gældende fra'!$D$7/100),0)</f>
        <v>378428</v>
      </c>
      <c r="G160" s="181">
        <f t="shared" si="9"/>
        <v>31535.67</v>
      </c>
      <c r="H160" s="1088">
        <f t="shared" si="10"/>
        <v>4730.3500000000004</v>
      </c>
      <c r="I160" s="1089"/>
    </row>
    <row r="161" spans="1:9">
      <c r="A161" s="645">
        <v>3</v>
      </c>
      <c r="B161" s="646">
        <v>40</v>
      </c>
      <c r="C161" s="1098">
        <f>+'Statens skalatrin'!N123</f>
        <v>347027.46</v>
      </c>
      <c r="D161" s="1099"/>
      <c r="E161" s="181">
        <f t="shared" si="8"/>
        <v>28918.959999999999</v>
      </c>
      <c r="F161" s="210">
        <f>ROUND(C161*(1+'Løntabel gældende fra'!$D$7/100),0)</f>
        <v>402273</v>
      </c>
      <c r="G161" s="181">
        <f t="shared" si="9"/>
        <v>33522.75</v>
      </c>
      <c r="H161" s="1088">
        <f t="shared" si="10"/>
        <v>5028.41</v>
      </c>
      <c r="I161" s="1089"/>
    </row>
    <row r="162" spans="1:9">
      <c r="A162" s="645">
        <v>35</v>
      </c>
      <c r="B162" s="646">
        <v>35</v>
      </c>
      <c r="C162" s="1098">
        <f>+C159</f>
        <v>313854.56</v>
      </c>
      <c r="D162" s="1099"/>
      <c r="E162" s="181">
        <f t="shared" si="8"/>
        <v>26154.55</v>
      </c>
      <c r="F162" s="210">
        <f>ROUND(C162*(1+'Løntabel gældende fra'!$D$7/100),0)</f>
        <v>363819</v>
      </c>
      <c r="G162" s="181">
        <f t="shared" si="9"/>
        <v>30318.25</v>
      </c>
      <c r="H162" s="1088">
        <f t="shared" si="10"/>
        <v>4547.74</v>
      </c>
      <c r="I162" s="1089"/>
    </row>
    <row r="163" spans="1:9">
      <c r="A163" s="645">
        <v>36</v>
      </c>
      <c r="B163" s="646">
        <v>36</v>
      </c>
      <c r="C163" s="1098">
        <f>+'Statens skalatrin'!N111</f>
        <v>320074.68</v>
      </c>
      <c r="D163" s="1099"/>
      <c r="E163" s="181">
        <f t="shared" si="8"/>
        <v>26672.89</v>
      </c>
      <c r="F163" s="210">
        <f>ROUND(C163*(1+'Løntabel gældende fra'!$D$7/100),0)</f>
        <v>371030</v>
      </c>
      <c r="G163" s="181">
        <f t="shared" si="9"/>
        <v>30919.17</v>
      </c>
      <c r="H163" s="1088">
        <f t="shared" si="10"/>
        <v>4637.88</v>
      </c>
      <c r="I163" s="1089"/>
    </row>
    <row r="164" spans="1:9" ht="15" hidden="1" customHeight="1">
      <c r="A164" s="645">
        <v>38</v>
      </c>
      <c r="B164" s="646">
        <v>38</v>
      </c>
      <c r="C164" s="1098">
        <f>+'Statens skalatrin'!N117</f>
        <v>333128.88</v>
      </c>
      <c r="D164" s="1099"/>
      <c r="E164" s="181">
        <f t="shared" si="8"/>
        <v>27760.74</v>
      </c>
      <c r="F164" s="210">
        <f>ROUND(C164*(1+'Løntabel gældende fra'!$D$7/100),0)</f>
        <v>386162</v>
      </c>
      <c r="G164" s="181">
        <f t="shared" si="9"/>
        <v>32180.17</v>
      </c>
      <c r="H164" s="1088">
        <f t="shared" si="10"/>
        <v>4827.03</v>
      </c>
      <c r="I164" s="1089"/>
    </row>
    <row r="165" spans="1:9" s="70" customFormat="1" ht="15.75" customHeight="1">
      <c r="A165" s="645">
        <v>40</v>
      </c>
      <c r="B165" s="646">
        <v>40</v>
      </c>
      <c r="C165" s="1098">
        <f>+'Statens skalatrin'!N123</f>
        <v>347027.46</v>
      </c>
      <c r="D165" s="1099"/>
      <c r="E165" s="181">
        <f t="shared" si="8"/>
        <v>28918.959999999999</v>
      </c>
      <c r="F165" s="210">
        <f>ROUND(C165*(1+'Løntabel gældende fra'!$D$7/100),0)</f>
        <v>402273</v>
      </c>
      <c r="G165" s="181">
        <f t="shared" si="9"/>
        <v>33522.75</v>
      </c>
      <c r="H165" s="1088">
        <f t="shared" si="10"/>
        <v>5028.41</v>
      </c>
      <c r="I165" s="1089"/>
    </row>
    <row r="166" spans="1:9" s="70" customFormat="1" ht="15">
      <c r="A166" s="645">
        <v>41</v>
      </c>
      <c r="B166" s="646">
        <v>41</v>
      </c>
      <c r="C166" s="1098">
        <f>+'Statens skalatrin'!N126</f>
        <v>354249.23</v>
      </c>
      <c r="D166" s="1099"/>
      <c r="E166" s="181">
        <f t="shared" si="8"/>
        <v>29520.77</v>
      </c>
      <c r="F166" s="210">
        <f>ROUND(C166*(1+'Løntabel gældende fra'!$D$7/100),0)</f>
        <v>410645</v>
      </c>
      <c r="G166" s="181">
        <f t="shared" si="9"/>
        <v>34220.42</v>
      </c>
      <c r="H166" s="1088">
        <f t="shared" si="10"/>
        <v>5133.0600000000004</v>
      </c>
      <c r="I166" s="1089"/>
    </row>
    <row r="167" spans="1:9" s="70" customFormat="1" ht="16" thickBot="1">
      <c r="A167" s="140">
        <v>42</v>
      </c>
      <c r="B167" s="360">
        <v>42</v>
      </c>
      <c r="C167" s="1100">
        <f>+'Statens skalatrin'!N129</f>
        <v>361659.2</v>
      </c>
      <c r="D167" s="1101"/>
      <c r="E167" s="161">
        <f t="shared" si="8"/>
        <v>30138.27</v>
      </c>
      <c r="F167" s="211">
        <f>ROUND(C167*(1+'Løntabel gældende fra'!$D$7/100),0)</f>
        <v>419234</v>
      </c>
      <c r="G167" s="161">
        <f t="shared" si="9"/>
        <v>34936.17</v>
      </c>
      <c r="H167" s="1088">
        <f t="shared" si="10"/>
        <v>5240.43</v>
      </c>
      <c r="I167" s="1089"/>
    </row>
    <row r="168" spans="1:9" s="70" customFormat="1" ht="64" customHeight="1" thickBot="1">
      <c r="A168" s="1102" t="s">
        <v>441</v>
      </c>
      <c r="B168" s="1102"/>
      <c r="C168" s="1102"/>
      <c r="D168" s="1102"/>
      <c r="E168" s="1102"/>
      <c r="F168" s="1102"/>
      <c r="G168" s="1102"/>
      <c r="H168" s="1102"/>
      <c r="I168" s="1102"/>
    </row>
    <row r="169" spans="1:9" ht="15">
      <c r="A169" s="73"/>
      <c r="B169" s="73"/>
      <c r="C169" s="73"/>
      <c r="D169" s="74"/>
      <c r="E169" s="72"/>
      <c r="F169" s="70"/>
      <c r="G169" s="70"/>
      <c r="H169" s="70"/>
      <c r="I169" s="70"/>
    </row>
    <row r="170" spans="1:9" ht="16"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sheetProtection sheet="1" objects="1" scenarios="1"/>
  <mergeCells count="247">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F118:I118"/>
    <mergeCell ref="F119:I119"/>
    <mergeCell ref="F120:I120"/>
    <mergeCell ref="F121:I121"/>
    <mergeCell ref="B118:E118"/>
    <mergeCell ref="B119:E119"/>
    <mergeCell ref="B120:E120"/>
    <mergeCell ref="B121:E121"/>
    <mergeCell ref="C124:E124"/>
    <mergeCell ref="A122:I122"/>
    <mergeCell ref="H123:I124"/>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zoomScaleSheetLayoutView="100" workbookViewId="0">
      <selection activeCell="D66" sqref="D66"/>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85" t="s">
        <v>471</v>
      </c>
      <c r="B1" s="1186"/>
      <c r="C1" s="1186"/>
      <c r="D1" s="1186"/>
      <c r="E1" s="1186"/>
      <c r="F1" s="1186"/>
      <c r="G1" s="1187"/>
      <c r="N1" s="870"/>
      <c r="O1" s="870"/>
      <c r="P1" s="870"/>
    </row>
    <row r="2" spans="1:16" ht="27" customHeight="1" thickBot="1">
      <c r="A2" s="1150" t="str">
        <f>'Forside 1'!A6:I6</f>
        <v>Gældende fra 1. oktober 2023</v>
      </c>
      <c r="B2" s="1151"/>
      <c r="C2" s="1151"/>
      <c r="D2" s="1151"/>
      <c r="E2" s="1151"/>
      <c r="F2" s="1151"/>
      <c r="G2" s="928"/>
      <c r="H2" s="928"/>
      <c r="I2" s="929"/>
      <c r="N2" s="870"/>
      <c r="O2" s="870"/>
      <c r="P2" s="870"/>
    </row>
    <row r="3" spans="1:16" ht="18" customHeight="1" thickBot="1">
      <c r="A3" s="878"/>
      <c r="B3" s="878"/>
      <c r="C3" s="878"/>
      <c r="D3" s="878"/>
      <c r="E3" s="878"/>
      <c r="F3" s="878"/>
      <c r="G3" s="877"/>
      <c r="N3" s="870"/>
      <c r="O3" s="870"/>
      <c r="P3" s="870"/>
    </row>
    <row r="4" spans="1:16" ht="14" customHeight="1">
      <c r="A4" s="1319" t="s">
        <v>437</v>
      </c>
      <c r="B4" s="1320"/>
      <c r="C4" s="1320"/>
      <c r="D4" s="1320"/>
      <c r="E4" s="1320"/>
      <c r="F4" s="1321"/>
      <c r="G4" s="80"/>
      <c r="N4" s="1338"/>
      <c r="O4" s="1338"/>
      <c r="P4" s="1338"/>
    </row>
    <row r="5" spans="1:16" ht="14" customHeight="1">
      <c r="A5" s="1322"/>
      <c r="B5" s="1323"/>
      <c r="C5" s="1323"/>
      <c r="D5" s="1323"/>
      <c r="E5" s="1323"/>
      <c r="F5" s="1324"/>
      <c r="G5" s="80"/>
      <c r="H5"/>
      <c r="N5" s="42"/>
      <c r="O5" s="42"/>
      <c r="P5" s="42"/>
    </row>
    <row r="6" spans="1:16" customFormat="1" ht="15" customHeight="1" thickBot="1">
      <c r="A6" s="1170" t="s">
        <v>308</v>
      </c>
      <c r="B6" s="1171"/>
      <c r="C6" s="1171"/>
      <c r="D6" s="1171"/>
      <c r="E6" s="1171"/>
      <c r="F6" s="1172"/>
      <c r="G6" s="80"/>
    </row>
    <row r="7" spans="1:16" customFormat="1" ht="15" customHeight="1">
      <c r="A7" s="1355"/>
      <c r="B7" s="1356"/>
      <c r="C7" s="1362" t="s">
        <v>131</v>
      </c>
      <c r="D7" s="1363"/>
      <c r="E7" s="1362" t="s">
        <v>340</v>
      </c>
      <c r="F7" s="1363"/>
      <c r="G7" s="60"/>
    </row>
    <row r="8" spans="1:16" customFormat="1" ht="24" customHeight="1" thickBot="1">
      <c r="A8" s="1357"/>
      <c r="B8" s="1358"/>
      <c r="C8" s="1325">
        <v>40999</v>
      </c>
      <c r="D8" s="1326"/>
      <c r="E8" s="1327" t="str">
        <f>'Løntabel gældende fra'!D1</f>
        <v>01/10/23</v>
      </c>
      <c r="F8" s="1326"/>
      <c r="G8" s="60"/>
    </row>
    <row r="9" spans="1:16" customFormat="1" ht="17" customHeight="1" thickBot="1">
      <c r="A9" s="1364" t="s">
        <v>115</v>
      </c>
      <c r="B9" s="1365"/>
      <c r="C9" s="1341" t="s">
        <v>315</v>
      </c>
      <c r="D9" s="1342"/>
      <c r="E9" s="1341" t="s">
        <v>315</v>
      </c>
      <c r="F9" s="1342"/>
      <c r="G9" s="60"/>
    </row>
    <row r="10" spans="1:16" customFormat="1" ht="17" customHeight="1">
      <c r="A10" s="1334" t="s">
        <v>116</v>
      </c>
      <c r="B10" s="1335"/>
      <c r="C10" s="97">
        <v>370554</v>
      </c>
      <c r="D10" s="98">
        <v>440413</v>
      </c>
      <c r="E10" s="97">
        <f>C10+C10*'Løntabel gældende fra'!$D$7%</f>
        <v>429545.08513800002</v>
      </c>
      <c r="F10" s="98">
        <f>D10+D10*'Løntabel gældende fra'!$D$7%</f>
        <v>510525.42836100003</v>
      </c>
      <c r="G10" s="53"/>
    </row>
    <row r="11" spans="1:16" customFormat="1" ht="17" customHeight="1">
      <c r="A11" s="1350" t="s">
        <v>117</v>
      </c>
      <c r="B11" s="1351"/>
      <c r="C11" s="99">
        <v>406159</v>
      </c>
      <c r="D11" s="123">
        <v>486503</v>
      </c>
      <c r="E11" s="100">
        <f>C11+C11*'Løntabel gældende fra'!$D$7%</f>
        <v>470818.29432300001</v>
      </c>
      <c r="F11" s="95">
        <f>D11+D11*'Løntabel gældende fra'!$D$7%</f>
        <v>563952.81809099996</v>
      </c>
      <c r="G11" s="53"/>
    </row>
    <row r="12" spans="1:16" customFormat="1" ht="17" customHeight="1">
      <c r="A12" s="1336" t="s">
        <v>435</v>
      </c>
      <c r="B12" s="1337"/>
      <c r="C12" s="100">
        <v>441765</v>
      </c>
      <c r="D12" s="95">
        <v>531283</v>
      </c>
      <c r="E12" s="100">
        <f>C12+C12*'Løntabel gældende fra'!$D$7%</f>
        <v>512092.66270500002</v>
      </c>
      <c r="F12" s="95">
        <f>D12+D12*'Løntabel gældende fra'!$D$7%</f>
        <v>615861.659751</v>
      </c>
      <c r="G12" s="53"/>
      <c r="H12" s="57"/>
    </row>
    <row r="13" spans="1:16" s="57" customFormat="1" ht="17" customHeight="1" thickBot="1">
      <c r="A13" s="1330" t="s">
        <v>436</v>
      </c>
      <c r="B13" s="1331"/>
      <c r="C13" s="722">
        <v>441765</v>
      </c>
      <c r="D13" s="723">
        <v>586331</v>
      </c>
      <c r="E13" s="722">
        <f>C13+C13*'Løntabel gældende fra'!$D$7%</f>
        <v>512092.66270500002</v>
      </c>
      <c r="F13" s="723">
        <f>D13+D13*'Løntabel gældende fra'!$D$7%</f>
        <v>679673.136207</v>
      </c>
      <c r="G13" s="53"/>
      <c r="H13" s="2"/>
    </row>
    <row r="14" spans="1:16" ht="18" customHeight="1" thickBot="1">
      <c r="A14" s="79"/>
      <c r="B14" s="79"/>
      <c r="C14" s="79"/>
      <c r="D14" s="79"/>
      <c r="E14" s="79"/>
      <c r="F14" s="79"/>
      <c r="G14" s="79"/>
    </row>
    <row r="15" spans="1:16" ht="14" customHeight="1">
      <c r="A15" s="1090" t="s">
        <v>440</v>
      </c>
      <c r="B15" s="1091"/>
      <c r="C15" s="1091"/>
      <c r="D15" s="1091"/>
      <c r="E15" s="1091"/>
      <c r="F15" s="1092"/>
      <c r="G15" s="80"/>
      <c r="H15" s="736"/>
    </row>
    <row r="16" spans="1:16" ht="14" customHeight="1">
      <c r="A16" s="1347"/>
      <c r="B16" s="1348"/>
      <c r="C16" s="1348"/>
      <c r="D16" s="1348"/>
      <c r="E16" s="1348"/>
      <c r="F16" s="1349"/>
      <c r="G16" s="80"/>
      <c r="H16" s="736" t="s">
        <v>129</v>
      </c>
      <c r="I16" s="736"/>
      <c r="N16" s="42"/>
      <c r="O16" s="42"/>
      <c r="P16" s="42"/>
    </row>
    <row r="17" spans="1:16" customFormat="1" ht="15" customHeight="1" thickBot="1">
      <c r="A17" s="1170" t="s">
        <v>308</v>
      </c>
      <c r="B17" s="1171"/>
      <c r="C17" s="1171"/>
      <c r="D17" s="1171"/>
      <c r="E17" s="1171"/>
      <c r="F17" s="1172"/>
      <c r="G17" s="80"/>
      <c r="H17" s="737"/>
      <c r="I17" s="736"/>
    </row>
    <row r="18" spans="1:16" customFormat="1" ht="15" customHeight="1">
      <c r="A18" s="1241"/>
      <c r="B18" s="1243"/>
      <c r="C18" s="1340" t="s">
        <v>131</v>
      </c>
      <c r="D18" s="1278"/>
      <c r="E18" s="1340" t="s">
        <v>340</v>
      </c>
      <c r="F18" s="1278"/>
      <c r="G18" s="60"/>
      <c r="H18" s="736"/>
      <c r="I18" s="737"/>
    </row>
    <row r="19" spans="1:16" customFormat="1" ht="24" customHeight="1" thickBot="1">
      <c r="A19" s="1360"/>
      <c r="B19" s="1361"/>
      <c r="C19" s="1325">
        <v>40999</v>
      </c>
      <c r="D19" s="1326"/>
      <c r="E19" s="1327" t="str">
        <f>'Løntabel gældende fra'!D1</f>
        <v>01/10/23</v>
      </c>
      <c r="F19" s="1326"/>
      <c r="G19" s="60"/>
      <c r="H19" s="737">
        <v>35388</v>
      </c>
      <c r="I19" s="736"/>
    </row>
    <row r="20" spans="1:16" customFormat="1" ht="17" customHeight="1" thickBot="1">
      <c r="A20" s="725" t="s">
        <v>115</v>
      </c>
      <c r="B20" s="429" t="s">
        <v>119</v>
      </c>
      <c r="C20" s="1359" t="s">
        <v>315</v>
      </c>
      <c r="D20" s="1342"/>
      <c r="E20" s="1341" t="s">
        <v>315</v>
      </c>
      <c r="F20" s="1342"/>
      <c r="G20" s="60"/>
      <c r="H20" s="737">
        <v>35388</v>
      </c>
      <c r="I20" s="737">
        <v>26213</v>
      </c>
    </row>
    <row r="21" spans="1:16" customFormat="1" ht="17" customHeight="1">
      <c r="A21" s="729" t="s">
        <v>120</v>
      </c>
      <c r="B21" s="728" t="s">
        <v>121</v>
      </c>
      <c r="C21" s="124">
        <f>C10+H19</f>
        <v>405942</v>
      </c>
      <c r="D21" s="125">
        <f>D10+I20</f>
        <v>466626</v>
      </c>
      <c r="E21" s="121">
        <f>C21+C21*'Løntabel gældende fra'!$D$7%</f>
        <v>470566.74857400003</v>
      </c>
      <c r="F21" s="122">
        <f>D21+D21*'Løntabel gældende fra'!$D$7%</f>
        <v>540911.45932200004</v>
      </c>
      <c r="G21" s="53"/>
      <c r="H21" s="737">
        <v>35388</v>
      </c>
      <c r="I21" s="737">
        <v>26213</v>
      </c>
    </row>
    <row r="22" spans="1:16" customFormat="1" ht="17" customHeight="1">
      <c r="A22" s="416" t="s">
        <v>117</v>
      </c>
      <c r="B22" s="90" t="s">
        <v>121</v>
      </c>
      <c r="C22" s="99">
        <f>C11+H20</f>
        <v>441547</v>
      </c>
      <c r="D22" s="123">
        <f>D11+I21</f>
        <v>512716</v>
      </c>
      <c r="E22" s="96">
        <f>C22+C22*'Løntabel gældende fra'!$D$7%</f>
        <v>511839.95775900001</v>
      </c>
      <c r="F22" s="95">
        <f>D22+D22*'Løntabel gældende fra'!$D$7%</f>
        <v>594338.84905199998</v>
      </c>
      <c r="G22" s="53"/>
      <c r="H22" s="737">
        <v>52426</v>
      </c>
      <c r="I22" s="737">
        <v>26213</v>
      </c>
    </row>
    <row r="23" spans="1:16" s="57" customFormat="1" ht="17" customHeight="1">
      <c r="A23" s="726" t="s">
        <v>118</v>
      </c>
      <c r="B23" s="727" t="s">
        <v>121</v>
      </c>
      <c r="C23" s="124">
        <f>C12+H21</f>
        <v>477153</v>
      </c>
      <c r="D23" s="125">
        <f>D12+I22</f>
        <v>557496</v>
      </c>
      <c r="E23" s="126">
        <f>C23+C23*'Løntabel gældende fra'!$D$7%</f>
        <v>553114.32614100003</v>
      </c>
      <c r="F23" s="127">
        <f>D23+D23*'Løntabel gældende fra'!$D$7%</f>
        <v>646247.69071200001</v>
      </c>
      <c r="G23" s="53"/>
      <c r="H23" s="737">
        <v>52426</v>
      </c>
      <c r="I23" s="737">
        <v>43252</v>
      </c>
    </row>
    <row r="24" spans="1:16" s="57" customFormat="1" ht="17" customHeight="1">
      <c r="A24" s="730" t="s">
        <v>122</v>
      </c>
      <c r="B24" s="732" t="s">
        <v>123</v>
      </c>
      <c r="C24" s="100">
        <f>C10+H22</f>
        <v>422980</v>
      </c>
      <c r="D24" s="95">
        <f>D10+I23</f>
        <v>483665</v>
      </c>
      <c r="E24" s="96">
        <f>C24+C24*'Løntabel gældende fra'!$D$7%</f>
        <v>490317.14705999999</v>
      </c>
      <c r="F24" s="95">
        <f>D24+D24*'Løntabel gældende fra'!$D$7%</f>
        <v>560663.01700500003</v>
      </c>
      <c r="G24" s="67"/>
      <c r="H24" s="737">
        <v>52426</v>
      </c>
      <c r="I24" s="737">
        <v>43252</v>
      </c>
    </row>
    <row r="25" spans="1:16" s="57" customFormat="1" ht="17" customHeight="1">
      <c r="A25" s="730" t="s">
        <v>117</v>
      </c>
      <c r="B25" s="732" t="s">
        <v>123</v>
      </c>
      <c r="C25" s="124">
        <f>C11+H23</f>
        <v>458585</v>
      </c>
      <c r="D25" s="125">
        <f>D11+I24</f>
        <v>529755</v>
      </c>
      <c r="E25" s="128">
        <f>C25+C25*'Løntabel gældende fra'!$D$7%</f>
        <v>531590.35624500003</v>
      </c>
      <c r="F25" s="125">
        <f>D25+D25*'Løntabel gældende fra'!$D$7%</f>
        <v>614090.40673499997</v>
      </c>
      <c r="G25" s="67"/>
      <c r="H25" s="738">
        <v>70776</v>
      </c>
      <c r="I25" s="737">
        <v>43252</v>
      </c>
    </row>
    <row r="26" spans="1:16" s="57" customFormat="1" ht="17" customHeight="1">
      <c r="A26" s="730" t="s">
        <v>118</v>
      </c>
      <c r="B26" s="732" t="s">
        <v>123</v>
      </c>
      <c r="C26" s="100">
        <f>C12+H24</f>
        <v>494191</v>
      </c>
      <c r="D26" s="95">
        <f>D12+I25</f>
        <v>574535</v>
      </c>
      <c r="E26" s="96">
        <f>C26+C26*'Løntabel gældende fra'!$D$7%</f>
        <v>572864.72462700005</v>
      </c>
      <c r="F26" s="95">
        <f>D26+D26*'Løntabel gældende fra'!$D$7%</f>
        <v>665999.248395</v>
      </c>
      <c r="G26" s="67"/>
      <c r="H26" s="738">
        <v>70776</v>
      </c>
      <c r="I26" s="738">
        <v>61601</v>
      </c>
    </row>
    <row r="27" spans="1:16" s="57" customFormat="1" ht="17" customHeight="1">
      <c r="A27" s="730" t="s">
        <v>122</v>
      </c>
      <c r="B27" s="732" t="s">
        <v>124</v>
      </c>
      <c r="C27" s="100">
        <f>C10+H25</f>
        <v>441330</v>
      </c>
      <c r="D27" s="95">
        <f>D10+I26</f>
        <v>502014</v>
      </c>
      <c r="E27" s="121">
        <f>C27+C27*'Løntabel gældende fra'!$D$7%</f>
        <v>511588.41200999997</v>
      </c>
      <c r="F27" s="122">
        <f>D27+D27*'Løntabel gældende fra'!$D$7%</f>
        <v>581933.12275800004</v>
      </c>
      <c r="G27" s="67"/>
      <c r="H27" s="738">
        <v>70776</v>
      </c>
      <c r="I27" s="738">
        <v>61601</v>
      </c>
    </row>
    <row r="28" spans="1:16" s="57" customFormat="1" ht="17" customHeight="1">
      <c r="A28" s="730" t="s">
        <v>117</v>
      </c>
      <c r="B28" s="732" t="s">
        <v>124</v>
      </c>
      <c r="C28" s="100">
        <f>C11+H26</f>
        <v>476935</v>
      </c>
      <c r="D28" s="95">
        <f>D11+I27</f>
        <v>548104</v>
      </c>
      <c r="E28" s="96">
        <f>C28+C28*'Løntabel gældende fra'!$D$7%</f>
        <v>552861.62119500001</v>
      </c>
      <c r="F28" s="95">
        <f>D28+D28*'Løntabel gældende fra'!$D$7%</f>
        <v>635360.51248799998</v>
      </c>
      <c r="G28" s="67"/>
      <c r="H28" s="738"/>
      <c r="I28" s="738">
        <v>61601</v>
      </c>
    </row>
    <row r="29" spans="1:16" s="57" customFormat="1" ht="18" customHeight="1" thickBot="1">
      <c r="A29" s="731" t="s">
        <v>118</v>
      </c>
      <c r="B29" s="733" t="s">
        <v>124</v>
      </c>
      <c r="C29" s="101">
        <f>C12+H27</f>
        <v>512541</v>
      </c>
      <c r="D29" s="103">
        <f>D12+I28</f>
        <v>592884</v>
      </c>
      <c r="E29" s="102">
        <f>C29+C29*'Løntabel gældende fra'!$D$7%</f>
        <v>594135.98957700003</v>
      </c>
      <c r="F29" s="103">
        <f>D29+D29*'Løntabel gældende fra'!$D$7%</f>
        <v>687269.35414800001</v>
      </c>
      <c r="G29" s="67"/>
      <c r="H29" s="2"/>
      <c r="I29" s="738"/>
    </row>
    <row r="30" spans="1:16" ht="24" customHeight="1" thickBot="1">
      <c r="A30" s="67"/>
      <c r="B30" s="67"/>
      <c r="C30" s="67"/>
      <c r="D30" s="67"/>
      <c r="E30" s="67"/>
      <c r="F30" s="67"/>
      <c r="G30" s="67"/>
      <c r="N30" s="1346"/>
      <c r="O30" s="1346"/>
      <c r="P30" s="1346"/>
    </row>
    <row r="31" spans="1:16" ht="11" customHeight="1">
      <c r="A31" s="1282" t="s">
        <v>460</v>
      </c>
      <c r="B31" s="1283"/>
      <c r="C31" s="1283"/>
      <c r="D31" s="1283"/>
      <c r="E31" s="1283"/>
      <c r="F31" s="1284"/>
      <c r="G31" s="80"/>
      <c r="N31" s="1338"/>
      <c r="O31" s="1338"/>
      <c r="P31" s="1338"/>
    </row>
    <row r="32" spans="1:16" ht="14" customHeight="1">
      <c r="A32" s="1343"/>
      <c r="B32" s="1344"/>
      <c r="C32" s="1344"/>
      <c r="D32" s="1344"/>
      <c r="E32" s="1344"/>
      <c r="F32" s="1345"/>
      <c r="G32" s="80"/>
      <c r="H32"/>
      <c r="N32" s="42"/>
      <c r="O32" s="42"/>
      <c r="P32" s="42"/>
    </row>
    <row r="33" spans="1:11" customFormat="1" ht="15" customHeight="1" thickBot="1">
      <c r="A33" s="1170" t="s">
        <v>308</v>
      </c>
      <c r="B33" s="1171"/>
      <c r="C33" s="1171"/>
      <c r="D33" s="1171"/>
      <c r="E33" s="1171"/>
      <c r="F33" s="1172"/>
      <c r="G33" s="80"/>
    </row>
    <row r="34" spans="1:11" customFormat="1" ht="15" customHeight="1">
      <c r="A34" s="1241"/>
      <c r="B34" s="1243"/>
      <c r="C34" s="1340" t="s">
        <v>131</v>
      </c>
      <c r="D34" s="1278"/>
      <c r="E34" s="1340" t="s">
        <v>340</v>
      </c>
      <c r="F34" s="1278"/>
      <c r="G34" s="60"/>
    </row>
    <row r="35" spans="1:11" customFormat="1" ht="24" customHeight="1" thickBot="1">
      <c r="A35" s="1244"/>
      <c r="B35" s="1246"/>
      <c r="C35" s="1325">
        <v>40999</v>
      </c>
      <c r="D35" s="1326"/>
      <c r="E35" s="1327" t="str">
        <f>'Løntabel gældende fra'!D1</f>
        <v>01/10/23</v>
      </c>
      <c r="F35" s="1326"/>
      <c r="G35" s="60"/>
    </row>
    <row r="36" spans="1:11" customFormat="1" ht="24" customHeight="1" thickBot="1">
      <c r="A36" s="1332" t="s">
        <v>115</v>
      </c>
      <c r="B36" s="1333"/>
      <c r="C36" s="1328" t="s">
        <v>259</v>
      </c>
      <c r="D36" s="1329"/>
      <c r="E36" s="1341" t="s">
        <v>259</v>
      </c>
      <c r="F36" s="1342"/>
      <c r="G36" s="60"/>
    </row>
    <row r="37" spans="1:11" customFormat="1" ht="22" customHeight="1">
      <c r="A37" s="1299" t="s">
        <v>438</v>
      </c>
      <c r="B37" s="1300"/>
      <c r="C37" s="1303">
        <v>353412</v>
      </c>
      <c r="D37" s="1304"/>
      <c r="E37" s="1303">
        <f>C37+C37*'Løntabel gældende fra'!$D$7%</f>
        <v>409674.13016399997</v>
      </c>
      <c r="F37" s="1304"/>
      <c r="G37" s="53"/>
      <c r="H37" s="67"/>
    </row>
    <row r="38" spans="1:11" s="57" customFormat="1" ht="23" customHeight="1" thickBot="1">
      <c r="A38" s="1301" t="s">
        <v>118</v>
      </c>
      <c r="B38" s="1302"/>
      <c r="C38" s="1305">
        <v>396929</v>
      </c>
      <c r="D38" s="1306"/>
      <c r="E38" s="1316">
        <f>C38+C38*'Løntabel gældende fra'!$D$7%</f>
        <v>460118.906013</v>
      </c>
      <c r="F38" s="1317"/>
      <c r="G38" s="53"/>
      <c r="H38" s="67"/>
      <c r="I38" s="67"/>
      <c r="J38" s="67"/>
      <c r="K38" s="67"/>
    </row>
    <row r="39" spans="1:11" s="57" customFormat="1" ht="7" customHeight="1">
      <c r="A39" s="1318"/>
      <c r="B39" s="1318"/>
      <c r="C39" s="1318"/>
      <c r="D39" s="1318"/>
      <c r="E39" s="1318"/>
      <c r="F39" s="118"/>
      <c r="G39" s="67"/>
      <c r="H39" s="67"/>
      <c r="I39" s="67"/>
      <c r="J39" s="67"/>
      <c r="K39" s="67"/>
    </row>
    <row r="40" spans="1:11" s="57" customFormat="1" ht="54" customHeight="1" thickBot="1">
      <c r="A40" s="623"/>
      <c r="B40" s="624"/>
      <c r="C40" s="623"/>
      <c r="D40" s="625"/>
      <c r="E40" s="625"/>
      <c r="F40" s="625"/>
      <c r="G40" s="67"/>
      <c r="H40" s="67"/>
      <c r="I40" s="67"/>
      <c r="J40" s="67"/>
      <c r="K40" s="67"/>
    </row>
    <row r="41" spans="1:11" s="57" customFormat="1" ht="21" thickBot="1">
      <c r="A41" s="1307" t="s">
        <v>163</v>
      </c>
      <c r="B41" s="1308"/>
      <c r="C41" s="1308"/>
      <c r="D41" s="1308"/>
      <c r="E41" s="1308"/>
      <c r="F41" s="1308"/>
      <c r="G41" s="1309"/>
      <c r="H41" s="67"/>
      <c r="I41" s="67"/>
      <c r="J41" s="67"/>
      <c r="K41" s="67"/>
    </row>
    <row r="42" spans="1:11" s="57" customFormat="1" ht="50" customHeight="1">
      <c r="A42" s="1166" t="s">
        <v>461</v>
      </c>
      <c r="B42" s="1310" t="s">
        <v>470</v>
      </c>
      <c r="C42" s="1311"/>
      <c r="D42" s="1312"/>
      <c r="E42" s="327" t="s">
        <v>131</v>
      </c>
      <c r="F42" s="615" t="s">
        <v>340</v>
      </c>
      <c r="G42" s="530"/>
      <c r="H42" s="67"/>
      <c r="I42" s="67"/>
      <c r="J42" s="67"/>
      <c r="K42" s="67"/>
    </row>
    <row r="43" spans="1:11" s="57" customFormat="1" ht="21" thickBot="1">
      <c r="A43" s="1112"/>
      <c r="B43" s="1313"/>
      <c r="C43" s="1314"/>
      <c r="D43" s="1315"/>
      <c r="E43" s="734">
        <v>40999</v>
      </c>
      <c r="F43" s="735" t="str">
        <f>'Løntabel gældende fra'!$D$1</f>
        <v>01/10/23</v>
      </c>
      <c r="G43" s="531"/>
      <c r="H43" s="67"/>
      <c r="I43" s="67"/>
      <c r="J43" s="67"/>
      <c r="K43" s="67"/>
    </row>
    <row r="44" spans="1:11" s="57" customFormat="1" ht="34" customHeight="1" thickBot="1">
      <c r="A44" s="1084"/>
      <c r="B44" s="1296" t="s">
        <v>469</v>
      </c>
      <c r="C44" s="1297"/>
      <c r="D44" s="1298"/>
      <c r="E44" s="533">
        <v>130000</v>
      </c>
      <c r="F44" s="534">
        <f>E44+E44*'Løntabel gældende fra'!$D$7%</f>
        <v>150695.60999999999</v>
      </c>
      <c r="G44" s="532"/>
      <c r="H44" s="67"/>
      <c r="I44" s="67"/>
      <c r="J44" s="67"/>
      <c r="K44" s="67"/>
    </row>
    <row r="45" spans="1:11" s="57" customFormat="1" ht="21" thickBot="1">
      <c r="A45" s="205" t="s">
        <v>462</v>
      </c>
      <c r="B45" s="1293" t="s">
        <v>439</v>
      </c>
      <c r="C45" s="1294"/>
      <c r="D45" s="1294"/>
      <c r="E45" s="1294"/>
      <c r="F45" s="1294"/>
      <c r="G45" s="1295"/>
      <c r="H45" s="77"/>
      <c r="I45" s="67"/>
      <c r="J45" s="67"/>
      <c r="K45" s="67"/>
    </row>
    <row r="46" spans="1:11" ht="36" customHeight="1" thickBot="1">
      <c r="A46" s="57"/>
      <c r="B46" s="73"/>
      <c r="C46" s="57"/>
      <c r="D46" s="117"/>
      <c r="E46" s="117"/>
      <c r="F46" s="117"/>
      <c r="G46" s="67"/>
      <c r="H46" s="78"/>
    </row>
    <row r="47" spans="1:11" ht="34" customHeight="1">
      <c r="A47" s="1282" t="s">
        <v>483</v>
      </c>
      <c r="B47" s="1283"/>
      <c r="C47" s="1283"/>
      <c r="D47" s="1283"/>
      <c r="E47" s="1283"/>
      <c r="F47" s="1283"/>
      <c r="G47" s="1284"/>
      <c r="H47" s="78"/>
    </row>
    <row r="48" spans="1:11" s="57" customFormat="1" ht="26" customHeight="1" thickBot="1">
      <c r="A48" s="1093" t="str">
        <f>'Løntabel gældende fra'!$D$1</f>
        <v>01/10/23</v>
      </c>
      <c r="B48" s="1094"/>
      <c r="C48" s="1094"/>
      <c r="D48" s="1094"/>
      <c r="E48" s="1094"/>
      <c r="F48" s="1094"/>
      <c r="G48" s="1285"/>
      <c r="H48" s="78"/>
    </row>
    <row r="49" spans="1:8" s="57" customFormat="1" ht="26" customHeight="1">
      <c r="A49" s="1352" t="s">
        <v>88</v>
      </c>
      <c r="B49" s="1353"/>
      <c r="C49" s="1353"/>
      <c r="D49" s="1353"/>
      <c r="E49" s="1353"/>
      <c r="F49" s="1354"/>
      <c r="G49" s="932"/>
      <c r="H49" s="78"/>
    </row>
    <row r="50" spans="1:8" s="57" customFormat="1" ht="32" customHeight="1">
      <c r="A50" s="1290" t="s">
        <v>485</v>
      </c>
      <c r="B50" s="1291"/>
      <c r="C50" s="1291"/>
      <c r="D50" s="1291"/>
      <c r="E50" s="1291"/>
      <c r="F50" s="1292"/>
      <c r="G50" s="933"/>
      <c r="H50" s="78"/>
    </row>
    <row r="51" spans="1:8" s="57" customFormat="1" ht="30" customHeight="1">
      <c r="A51" s="1288" t="s">
        <v>484</v>
      </c>
      <c r="B51" s="1288"/>
      <c r="C51" s="1288"/>
      <c r="D51" s="1288"/>
      <c r="E51" s="1288"/>
      <c r="F51" s="1288"/>
      <c r="G51" s="933"/>
      <c r="H51" s="78"/>
    </row>
    <row r="52" spans="1:8" s="57" customFormat="1" ht="47" customHeight="1">
      <c r="A52" s="1286" t="s">
        <v>125</v>
      </c>
      <c r="B52" s="1286"/>
      <c r="C52" s="1286"/>
      <c r="D52" s="1286"/>
      <c r="E52" s="1286"/>
      <c r="F52" s="1286"/>
      <c r="G52" s="1286"/>
      <c r="H52" s="78"/>
    </row>
    <row r="53" spans="1:8" s="57" customFormat="1" ht="14" customHeight="1">
      <c r="A53" s="82"/>
      <c r="B53" s="82"/>
      <c r="C53" s="82"/>
      <c r="D53" s="82"/>
      <c r="E53" s="82"/>
      <c r="F53" s="82"/>
      <c r="G53" s="82"/>
      <c r="H53" s="78"/>
    </row>
    <row r="54" spans="1:8" s="57" customFormat="1" ht="14" customHeight="1">
      <c r="A54" s="1288" t="s">
        <v>126</v>
      </c>
      <c r="B54" s="1287" t="s">
        <v>541</v>
      </c>
      <c r="C54" s="1287"/>
      <c r="D54" s="1287"/>
      <c r="E54" s="1287"/>
      <c r="F54" s="1287"/>
      <c r="G54" s="1287"/>
      <c r="H54" s="78"/>
    </row>
    <row r="55" spans="1:8" s="57" customFormat="1" ht="14" customHeight="1">
      <c r="A55" s="1288"/>
      <c r="B55" s="81" t="s">
        <v>549</v>
      </c>
      <c r="C55" s="517"/>
      <c r="D55" s="517"/>
      <c r="E55" s="517"/>
      <c r="F55" s="517"/>
      <c r="G55" s="517"/>
      <c r="H55" s="78"/>
    </row>
    <row r="56" spans="1:8" s="57" customFormat="1" ht="14" customHeight="1">
      <c r="A56" s="1288"/>
      <c r="B56" s="1287" t="s">
        <v>550</v>
      </c>
      <c r="C56" s="1287"/>
      <c r="D56" s="1287"/>
      <c r="E56" s="1287"/>
      <c r="F56" s="1287"/>
      <c r="G56" s="1287"/>
      <c r="H56" s="78"/>
    </row>
    <row r="57" spans="1:8" s="57" customFormat="1" ht="14" customHeight="1">
      <c r="A57" s="83"/>
      <c r="B57" s="1287"/>
      <c r="C57" s="1287"/>
      <c r="D57" s="1287"/>
      <c r="E57" s="1287"/>
      <c r="F57" s="1287"/>
      <c r="G57" s="1287"/>
      <c r="H57" s="78"/>
    </row>
    <row r="58" spans="1:8" s="57" customFormat="1" ht="14" customHeight="1">
      <c r="A58" s="83"/>
      <c r="B58" s="517"/>
      <c r="C58" s="517"/>
      <c r="D58" s="517"/>
      <c r="E58" s="517"/>
      <c r="F58" s="517"/>
      <c r="G58" s="517"/>
      <c r="H58" s="78"/>
    </row>
    <row r="59" spans="1:8" s="57" customFormat="1" ht="14" customHeight="1">
      <c r="A59" s="1288" t="s">
        <v>127</v>
      </c>
      <c r="B59" s="1287" t="s">
        <v>542</v>
      </c>
      <c r="C59" s="1287"/>
      <c r="D59" s="1287"/>
      <c r="E59" s="1287"/>
      <c r="F59" s="1287"/>
      <c r="G59" s="1287"/>
      <c r="H59" s="78"/>
    </row>
    <row r="60" spans="1:8" s="57" customFormat="1" ht="14" customHeight="1">
      <c r="A60" s="1288"/>
      <c r="B60" s="81" t="s">
        <v>551</v>
      </c>
      <c r="C60" s="517"/>
      <c r="D60" s="517"/>
      <c r="E60" s="517"/>
      <c r="F60" s="517"/>
      <c r="G60" s="517"/>
      <c r="H60" s="78"/>
    </row>
    <row r="61" spans="1:8" s="57" customFormat="1" ht="14" customHeight="1">
      <c r="A61" s="1288"/>
      <c r="B61" s="1287" t="s">
        <v>552</v>
      </c>
      <c r="C61" s="1287"/>
      <c r="D61" s="1287"/>
      <c r="E61" s="1287"/>
      <c r="F61" s="1287"/>
      <c r="G61" s="1287"/>
      <c r="H61" s="78"/>
    </row>
    <row r="62" spans="1:8" s="57" customFormat="1" ht="12" customHeight="1">
      <c r="A62" s="83"/>
      <c r="B62" s="1287"/>
      <c r="C62" s="1287"/>
      <c r="D62" s="1287"/>
      <c r="E62" s="1287"/>
      <c r="F62" s="1287"/>
      <c r="G62" s="1287"/>
      <c r="H62" s="2"/>
    </row>
    <row r="63" spans="1:8" ht="18" customHeight="1" thickBot="1">
      <c r="A63" s="67"/>
      <c r="B63" s="67"/>
      <c r="C63" s="67"/>
      <c r="D63" s="67"/>
      <c r="E63" s="67"/>
      <c r="F63" s="67"/>
      <c r="G63" s="67"/>
    </row>
    <row r="64" spans="1:8" ht="18" customHeight="1">
      <c r="A64" s="1166" t="s">
        <v>57</v>
      </c>
      <c r="B64" s="1108" t="s">
        <v>23</v>
      </c>
      <c r="C64" s="1188"/>
      <c r="D64" s="1108" t="s">
        <v>24</v>
      </c>
      <c r="E64" s="1188"/>
      <c r="F64" s="605" t="s">
        <v>343</v>
      </c>
      <c r="G64" s="1166" t="s">
        <v>95</v>
      </c>
    </row>
    <row r="65" spans="1:8" ht="19" customHeight="1" thickBot="1">
      <c r="A65" s="1112"/>
      <c r="B65" s="608">
        <v>40999</v>
      </c>
      <c r="C65" s="609"/>
      <c r="D65" s="1077" t="str">
        <f>'Løntabel gældende fra'!$D$1</f>
        <v>01/10/23</v>
      </c>
      <c r="E65" s="1289"/>
      <c r="F65" s="606" t="str">
        <f>'Løntabel gældende fra'!$D$1</f>
        <v>01/10/23</v>
      </c>
      <c r="G65" s="1112"/>
      <c r="H65" s="45"/>
    </row>
    <row r="66" spans="1:8" ht="14" customHeight="1" thickBot="1">
      <c r="A66" s="1112"/>
      <c r="B66" s="610" t="s">
        <v>86</v>
      </c>
      <c r="C66" s="607" t="s">
        <v>161</v>
      </c>
      <c r="D66" s="321" t="s">
        <v>86</v>
      </c>
      <c r="E66" s="406" t="s">
        <v>161</v>
      </c>
      <c r="F66" s="406" t="s">
        <v>161</v>
      </c>
      <c r="G66" s="326">
        <v>0.15</v>
      </c>
    </row>
    <row r="67" spans="1:8">
      <c r="A67" s="355">
        <v>31</v>
      </c>
      <c r="B67" s="420">
        <f>+'Statens skalatrin'!N96</f>
        <v>290512.64000000001</v>
      </c>
      <c r="C67" s="420">
        <f>ROUND(B67/12,2)</f>
        <v>24209.39</v>
      </c>
      <c r="D67" s="421">
        <f>ROUND(B67*(1+'Løntabel gældende fra'!$D$7/100),0)</f>
        <v>336761</v>
      </c>
      <c r="E67" s="852">
        <f>ROUND(D67/12,2)</f>
        <v>28063.42</v>
      </c>
      <c r="F67" s="853">
        <f>ROUND(E67*15%,2)</f>
        <v>4209.51</v>
      </c>
      <c r="G67" s="422">
        <f>F67*$G$66</f>
        <v>631.42650000000003</v>
      </c>
    </row>
    <row r="68" spans="1:8">
      <c r="A68" s="416">
        <v>32</v>
      </c>
      <c r="B68" s="181">
        <f>+'Statens skalatrin'!N99</f>
        <v>296125.21000000002</v>
      </c>
      <c r="C68" s="613">
        <f t="shared" ref="C68:C86" si="0">ROUND(B68/12,2)</f>
        <v>24677.1</v>
      </c>
      <c r="D68" s="611">
        <f>ROUND(B68*(1+'Løntabel gældende fra'!$D$7/100),0)</f>
        <v>343267</v>
      </c>
      <c r="E68" s="854">
        <f t="shared" ref="E68:E86" si="1">ROUND(D68/12,2)</f>
        <v>28605.58</v>
      </c>
      <c r="F68" s="845">
        <f t="shared" ref="F68:F86" si="2">ROUND(E68*15%,2)</f>
        <v>4290.84</v>
      </c>
      <c r="G68" s="180">
        <f t="shared" ref="G68:G86" si="3">F68*$G$66</f>
        <v>643.62599999999998</v>
      </c>
    </row>
    <row r="69" spans="1:8">
      <c r="A69" s="416">
        <v>33</v>
      </c>
      <c r="B69" s="181">
        <f>+'Statens skalatrin'!N102</f>
        <v>301881.8</v>
      </c>
      <c r="C69" s="613">
        <f t="shared" si="0"/>
        <v>25156.82</v>
      </c>
      <c r="D69" s="611">
        <f>ROUND(B69*(1+'Løntabel gældende fra'!$D$7/100),0)</f>
        <v>349940</v>
      </c>
      <c r="E69" s="854">
        <f t="shared" si="1"/>
        <v>29161.67</v>
      </c>
      <c r="F69" s="845">
        <f t="shared" si="2"/>
        <v>4374.25</v>
      </c>
      <c r="G69" s="180">
        <f t="shared" si="3"/>
        <v>656.13749999999993</v>
      </c>
    </row>
    <row r="70" spans="1:8">
      <c r="A70" s="416">
        <v>34</v>
      </c>
      <c r="B70" s="181">
        <f>+'Statens skalatrin'!N105</f>
        <v>307790.62</v>
      </c>
      <c r="C70" s="613">
        <f t="shared" si="0"/>
        <v>25649.22</v>
      </c>
      <c r="D70" s="611">
        <f>ROUND(B70*(1+'Løntabel gældende fra'!$D$7/100),0)</f>
        <v>356790</v>
      </c>
      <c r="E70" s="854">
        <f t="shared" si="1"/>
        <v>29732.5</v>
      </c>
      <c r="F70" s="845">
        <f t="shared" si="2"/>
        <v>4459.88</v>
      </c>
      <c r="G70" s="180">
        <f t="shared" si="3"/>
        <v>668.98199999999997</v>
      </c>
    </row>
    <row r="71" spans="1:8">
      <c r="A71" s="416">
        <v>35</v>
      </c>
      <c r="B71" s="181">
        <f>+'Statens skalatrin'!N108</f>
        <v>313854.56</v>
      </c>
      <c r="C71" s="613">
        <f t="shared" si="0"/>
        <v>26154.55</v>
      </c>
      <c r="D71" s="611">
        <f>ROUND(B71*(1+'Løntabel gældende fra'!$D$7/100),0)</f>
        <v>363819</v>
      </c>
      <c r="E71" s="854">
        <f t="shared" si="1"/>
        <v>30318.25</v>
      </c>
      <c r="F71" s="845">
        <f t="shared" si="2"/>
        <v>4547.74</v>
      </c>
      <c r="G71" s="180">
        <f t="shared" si="3"/>
        <v>682.16099999999994</v>
      </c>
    </row>
    <row r="72" spans="1:8">
      <c r="A72" s="416">
        <v>36</v>
      </c>
      <c r="B72" s="181">
        <f>+'Statens skalatrin'!N111</f>
        <v>320074.68</v>
      </c>
      <c r="C72" s="613">
        <f t="shared" si="0"/>
        <v>26672.89</v>
      </c>
      <c r="D72" s="611">
        <f>ROUND(B72*(1+'Løntabel gældende fra'!$D$7/100),0)</f>
        <v>371030</v>
      </c>
      <c r="E72" s="854">
        <f t="shared" si="1"/>
        <v>30919.17</v>
      </c>
      <c r="F72" s="845">
        <f t="shared" si="2"/>
        <v>4637.88</v>
      </c>
      <c r="G72" s="180">
        <f t="shared" si="3"/>
        <v>695.68200000000002</v>
      </c>
    </row>
    <row r="73" spans="1:8">
      <c r="A73" s="416">
        <v>37</v>
      </c>
      <c r="B73" s="181">
        <f>+'Statens skalatrin'!N114</f>
        <v>326457.34000000003</v>
      </c>
      <c r="C73" s="613">
        <f t="shared" si="0"/>
        <v>27204.78</v>
      </c>
      <c r="D73" s="611">
        <f>ROUND(B73*(1+'Løntabel gældende fra'!$D$7/100),0)</f>
        <v>378428</v>
      </c>
      <c r="E73" s="854">
        <f t="shared" si="1"/>
        <v>31535.67</v>
      </c>
      <c r="F73" s="845">
        <f t="shared" si="2"/>
        <v>4730.3500000000004</v>
      </c>
      <c r="G73" s="180">
        <f t="shared" si="3"/>
        <v>709.55250000000001</v>
      </c>
    </row>
    <row r="74" spans="1:8">
      <c r="A74" s="416">
        <v>38</v>
      </c>
      <c r="B74" s="181">
        <f>+'Statens skalatrin'!N117</f>
        <v>333128.88</v>
      </c>
      <c r="C74" s="613">
        <f t="shared" si="0"/>
        <v>27760.74</v>
      </c>
      <c r="D74" s="611">
        <f>ROUND(B74*(1+'Løntabel gældende fra'!$D$7/100),0)</f>
        <v>386162</v>
      </c>
      <c r="E74" s="854">
        <f t="shared" si="1"/>
        <v>32180.17</v>
      </c>
      <c r="F74" s="845">
        <f t="shared" si="2"/>
        <v>4827.03</v>
      </c>
      <c r="G74" s="180">
        <f t="shared" si="3"/>
        <v>724.05449999999996</v>
      </c>
    </row>
    <row r="75" spans="1:8">
      <c r="A75" s="416">
        <v>39</v>
      </c>
      <c r="B75" s="181">
        <f>+'Statens skalatrin'!N120</f>
        <v>339989.41</v>
      </c>
      <c r="C75" s="613">
        <f t="shared" si="0"/>
        <v>28332.45</v>
      </c>
      <c r="D75" s="611">
        <f>ROUND(B75*(1+'Løntabel gældende fra'!$D$7/100),0)</f>
        <v>394115</v>
      </c>
      <c r="E75" s="854">
        <f t="shared" si="1"/>
        <v>32842.92</v>
      </c>
      <c r="F75" s="845">
        <f t="shared" si="2"/>
        <v>4926.4399999999996</v>
      </c>
      <c r="G75" s="180">
        <f t="shared" si="3"/>
        <v>738.96599999999989</v>
      </c>
    </row>
    <row r="76" spans="1:8">
      <c r="A76" s="416">
        <v>40</v>
      </c>
      <c r="B76" s="181">
        <f>+'Statens skalatrin'!N123</f>
        <v>347027.46</v>
      </c>
      <c r="C76" s="613">
        <f t="shared" si="0"/>
        <v>28918.959999999999</v>
      </c>
      <c r="D76" s="611">
        <f>ROUND(B76*(1+'Løntabel gældende fra'!$D$7/100),0)</f>
        <v>402273</v>
      </c>
      <c r="E76" s="854">
        <f t="shared" si="1"/>
        <v>33522.75</v>
      </c>
      <c r="F76" s="845">
        <f t="shared" si="2"/>
        <v>5028.41</v>
      </c>
      <c r="G76" s="180">
        <f t="shared" si="3"/>
        <v>754.26149999999996</v>
      </c>
    </row>
    <row r="77" spans="1:8">
      <c r="A77" s="416">
        <v>41</v>
      </c>
      <c r="B77" s="181">
        <f>+'Statens skalatrin'!N126</f>
        <v>354249.23</v>
      </c>
      <c r="C77" s="613">
        <f t="shared" si="0"/>
        <v>29520.77</v>
      </c>
      <c r="D77" s="611">
        <f>ROUND(B77*(1+'Løntabel gældende fra'!$D$7/100),0)</f>
        <v>410645</v>
      </c>
      <c r="E77" s="854">
        <f t="shared" si="1"/>
        <v>34220.42</v>
      </c>
      <c r="F77" s="845">
        <f t="shared" si="2"/>
        <v>5133.0600000000004</v>
      </c>
      <c r="G77" s="180">
        <f t="shared" si="3"/>
        <v>769.95900000000006</v>
      </c>
    </row>
    <row r="78" spans="1:8">
      <c r="A78" s="416">
        <v>42</v>
      </c>
      <c r="B78" s="181">
        <f>+'Statens skalatrin'!N129</f>
        <v>361659.2</v>
      </c>
      <c r="C78" s="613">
        <f t="shared" si="0"/>
        <v>30138.27</v>
      </c>
      <c r="D78" s="611">
        <f>ROUND(B78*(1+'Løntabel gældende fra'!$D$7/100),0)</f>
        <v>419234</v>
      </c>
      <c r="E78" s="854">
        <f t="shared" si="1"/>
        <v>34936.17</v>
      </c>
      <c r="F78" s="845">
        <f t="shared" si="2"/>
        <v>5240.43</v>
      </c>
      <c r="G78" s="180">
        <f t="shared" si="3"/>
        <v>786.06450000000007</v>
      </c>
    </row>
    <row r="79" spans="1:8">
      <c r="A79" s="416">
        <v>43</v>
      </c>
      <c r="B79" s="181">
        <f>+'Statens skalatrin'!N132</f>
        <v>369688.53</v>
      </c>
      <c r="C79" s="613">
        <f t="shared" si="0"/>
        <v>30807.38</v>
      </c>
      <c r="D79" s="611">
        <f>ROUND(B79*(1+'Løntabel gældende fra'!$D$7/100),0)</f>
        <v>428542</v>
      </c>
      <c r="E79" s="854">
        <f t="shared" si="1"/>
        <v>35711.83</v>
      </c>
      <c r="F79" s="845">
        <f t="shared" si="2"/>
        <v>5356.77</v>
      </c>
      <c r="G79" s="180">
        <f t="shared" si="3"/>
        <v>803.51550000000009</v>
      </c>
    </row>
    <row r="80" spans="1:8">
      <c r="A80" s="416">
        <v>44</v>
      </c>
      <c r="B80" s="181">
        <f>+'Statens skalatrin'!N135</f>
        <v>377937.3</v>
      </c>
      <c r="C80" s="613">
        <f t="shared" si="0"/>
        <v>31494.78</v>
      </c>
      <c r="D80" s="611">
        <f>ROUND(B80*(1+'Løntabel gældende fra'!$D$7/100),0)</f>
        <v>438104</v>
      </c>
      <c r="E80" s="854">
        <f t="shared" si="1"/>
        <v>36508.67</v>
      </c>
      <c r="F80" s="845">
        <f t="shared" si="2"/>
        <v>5476.3</v>
      </c>
      <c r="G80" s="180">
        <f t="shared" si="3"/>
        <v>821.44500000000005</v>
      </c>
      <c r="H80" s="57"/>
    </row>
    <row r="81" spans="1:8" s="57" customFormat="1">
      <c r="A81" s="416">
        <v>45</v>
      </c>
      <c r="B81" s="181">
        <f>+'Statens skalatrin'!N138</f>
        <v>386414.29</v>
      </c>
      <c r="C81" s="613">
        <f t="shared" si="0"/>
        <v>32201.19</v>
      </c>
      <c r="D81" s="611">
        <f>ROUND(B81*(1+'Løntabel gældende fra'!$D$7/100),0)</f>
        <v>447930</v>
      </c>
      <c r="E81" s="854">
        <f t="shared" si="1"/>
        <v>37327.5</v>
      </c>
      <c r="F81" s="845">
        <f t="shared" si="2"/>
        <v>5599.13</v>
      </c>
      <c r="G81" s="180">
        <f t="shared" si="3"/>
        <v>839.86950000000002</v>
      </c>
    </row>
    <row r="82" spans="1:8" s="57" customFormat="1">
      <c r="A82" s="416">
        <v>46</v>
      </c>
      <c r="B82" s="181">
        <f>+'Statens skalatrin'!N141</f>
        <v>395124.74</v>
      </c>
      <c r="C82" s="613">
        <f t="shared" si="0"/>
        <v>32927.06</v>
      </c>
      <c r="D82" s="611">
        <f>ROUND(B82*(1+'Løntabel gældende fra'!$D$7/100),0)</f>
        <v>458027</v>
      </c>
      <c r="E82" s="854">
        <f t="shared" si="1"/>
        <v>38168.92</v>
      </c>
      <c r="F82" s="845">
        <f t="shared" si="2"/>
        <v>5725.34</v>
      </c>
      <c r="G82" s="180">
        <f t="shared" si="3"/>
        <v>858.80100000000004</v>
      </c>
    </row>
    <row r="83" spans="1:8" s="57" customFormat="1">
      <c r="A83" s="416">
        <v>47</v>
      </c>
      <c r="B83" s="181">
        <f>+'Statens skalatrin'!N144</f>
        <v>413268.87</v>
      </c>
      <c r="C83" s="613">
        <f t="shared" si="0"/>
        <v>34439.07</v>
      </c>
      <c r="D83" s="611">
        <f>ROUND(B83*(1+'Løntabel gældende fra'!$D$7/100),0)</f>
        <v>479060</v>
      </c>
      <c r="E83" s="854">
        <f t="shared" si="1"/>
        <v>39921.67</v>
      </c>
      <c r="F83" s="845">
        <f t="shared" si="2"/>
        <v>5988.25</v>
      </c>
      <c r="G83" s="180">
        <f t="shared" si="3"/>
        <v>898.23749999999995</v>
      </c>
      <c r="H83" s="2"/>
    </row>
    <row r="84" spans="1:8">
      <c r="A84" s="416">
        <v>48</v>
      </c>
      <c r="B84" s="181">
        <f>+'Statens skalatrin'!N147</f>
        <v>441025.75</v>
      </c>
      <c r="C84" s="613">
        <f t="shared" si="0"/>
        <v>36752.15</v>
      </c>
      <c r="D84" s="611">
        <f>ROUND(B84*(1+'Løntabel gældende fra'!$D$7/100),0)</f>
        <v>511236</v>
      </c>
      <c r="E84" s="854">
        <f t="shared" si="1"/>
        <v>42603</v>
      </c>
      <c r="F84" s="845">
        <f t="shared" si="2"/>
        <v>6390.45</v>
      </c>
      <c r="G84" s="180">
        <f t="shared" si="3"/>
        <v>958.56749999999988</v>
      </c>
    </row>
    <row r="85" spans="1:8" ht="15" customHeight="1">
      <c r="A85" s="416">
        <v>49</v>
      </c>
      <c r="B85" s="181">
        <f>+'Statens skalatrin'!N150</f>
        <v>471780.9</v>
      </c>
      <c r="C85" s="613">
        <f t="shared" si="0"/>
        <v>39315.08</v>
      </c>
      <c r="D85" s="611">
        <f>ROUND(B85*(1+'Løntabel gældende fra'!$D$7/100),0)</f>
        <v>546887</v>
      </c>
      <c r="E85" s="854">
        <f t="shared" si="1"/>
        <v>45573.919999999998</v>
      </c>
      <c r="F85" s="845">
        <f t="shared" si="2"/>
        <v>6836.09</v>
      </c>
      <c r="G85" s="180">
        <f t="shared" si="3"/>
        <v>1025.4134999999999</v>
      </c>
    </row>
    <row r="86" spans="1:8" ht="16" customHeight="1" thickBot="1">
      <c r="A86" s="357">
        <v>50</v>
      </c>
      <c r="B86" s="161">
        <f>+'Statens skalatrin'!N153</f>
        <v>521094.47</v>
      </c>
      <c r="C86" s="614">
        <f t="shared" si="0"/>
        <v>43424.54</v>
      </c>
      <c r="D86" s="612">
        <f>ROUND(B86*(1+'Løntabel gældende fra'!$D$7/100),0)</f>
        <v>604051</v>
      </c>
      <c r="E86" s="855">
        <f t="shared" si="1"/>
        <v>50337.58</v>
      </c>
      <c r="F86" s="846">
        <f t="shared" si="2"/>
        <v>7550.64</v>
      </c>
      <c r="G86" s="352">
        <f t="shared" si="3"/>
        <v>1132.596</v>
      </c>
      <c r="H86" s="57"/>
    </row>
    <row r="87" spans="1:8" s="57" customFormat="1" ht="57" customHeight="1">
      <c r="A87" s="1281" t="s">
        <v>248</v>
      </c>
      <c r="B87" s="1281"/>
      <c r="C87" s="1281"/>
      <c r="D87" s="1281"/>
      <c r="E87" s="1281"/>
      <c r="F87" s="1281"/>
      <c r="G87" s="1281"/>
    </row>
    <row r="88" spans="1:8" s="57" customFormat="1" ht="15" customHeight="1">
      <c r="A88" s="56"/>
      <c r="B88" s="56"/>
      <c r="C88" s="56"/>
      <c r="D88" s="56"/>
      <c r="E88" s="56"/>
      <c r="F88" s="56"/>
      <c r="G88" s="56"/>
      <c r="H88" s="2"/>
    </row>
    <row r="89" spans="1:8">
      <c r="A89" s="1339"/>
      <c r="B89" s="1339"/>
      <c r="C89" s="1339"/>
      <c r="D89" s="1339"/>
      <c r="E89" s="1339"/>
      <c r="F89" s="1339"/>
      <c r="G89" s="1339"/>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sheetProtection sheet="1" objects="1" scenarios="1"/>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0"/>
  <sheetViews>
    <sheetView topLeftCell="A19" zoomScale="130" zoomScaleNormal="130" workbookViewId="0">
      <selection activeCell="H99" sqref="H99"/>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556" t="s">
        <v>387</v>
      </c>
      <c r="B1" s="1557"/>
      <c r="C1" s="1557"/>
      <c r="D1" s="1557"/>
      <c r="E1" s="1557"/>
      <c r="F1" s="1557"/>
      <c r="G1" s="1558"/>
      <c r="H1" s="658"/>
      <c r="I1" s="658"/>
    </row>
    <row r="2" spans="1:9" ht="19.5" customHeight="1" thickBot="1">
      <c r="A2" s="1150" t="str">
        <f>'Forside 1'!A6:I6</f>
        <v>Gældende fra 1. oktober 2023</v>
      </c>
      <c r="B2" s="1151"/>
      <c r="C2" s="1151"/>
      <c r="D2" s="1151"/>
      <c r="E2" s="1151"/>
      <c r="F2" s="1151"/>
      <c r="G2" s="1152"/>
    </row>
    <row r="3" spans="1:9" ht="11.25" customHeight="1" thickBot="1">
      <c r="A3" s="640"/>
      <c r="B3" s="640"/>
      <c r="C3" s="640"/>
      <c r="D3" s="640"/>
    </row>
    <row r="4" spans="1:9" s="641" customFormat="1" ht="21.75" customHeight="1" thickBot="1">
      <c r="A4" s="1430" t="s">
        <v>386</v>
      </c>
      <c r="B4" s="1431"/>
      <c r="C4" s="1431"/>
      <c r="D4" s="1431"/>
      <c r="E4" s="1431"/>
      <c r="F4" s="1431"/>
      <c r="G4" s="1432"/>
      <c r="H4" s="623"/>
    </row>
    <row r="5" spans="1:9" ht="8.25" customHeight="1" thickBot="1">
      <c r="A5" s="1433"/>
      <c r="B5" s="1433"/>
      <c r="C5" s="1433"/>
      <c r="D5" s="1433"/>
      <c r="E5" s="1433"/>
      <c r="F5" s="1433"/>
      <c r="G5" s="1433"/>
      <c r="H5" s="57"/>
    </row>
    <row r="6" spans="1:9" ht="16.5" customHeight="1">
      <c r="A6" s="1559" t="s">
        <v>259</v>
      </c>
      <c r="B6" s="1560"/>
      <c r="C6" s="1560"/>
      <c r="D6" s="1560"/>
      <c r="E6" s="1560"/>
      <c r="F6" s="1560"/>
      <c r="G6" s="1561"/>
      <c r="H6" s="206"/>
    </row>
    <row r="7" spans="1:9" ht="18.75" customHeight="1" thickBot="1">
      <c r="A7" s="1550" t="s">
        <v>539</v>
      </c>
      <c r="B7" s="1551"/>
      <c r="C7" s="1551"/>
      <c r="D7" s="1551"/>
      <c r="E7" s="1551"/>
      <c r="F7" s="1551"/>
      <c r="G7" s="1552"/>
      <c r="H7" s="659"/>
    </row>
    <row r="8" spans="1:9" ht="15" customHeight="1">
      <c r="A8" s="1439" t="s">
        <v>385</v>
      </c>
      <c r="B8" s="1440"/>
      <c r="C8" s="1454" t="s">
        <v>131</v>
      </c>
      <c r="D8" s="1368" t="s">
        <v>340</v>
      </c>
      <c r="E8" s="1368" t="s">
        <v>278</v>
      </c>
      <c r="F8" s="1539" t="s">
        <v>504</v>
      </c>
      <c r="G8" s="1516"/>
      <c r="H8" s="57"/>
    </row>
    <row r="9" spans="1:9" ht="28" customHeight="1">
      <c r="A9" s="1441"/>
      <c r="B9" s="1442"/>
      <c r="C9" s="1455"/>
      <c r="D9" s="1369"/>
      <c r="E9" s="1369"/>
      <c r="F9" s="1540"/>
      <c r="G9" s="1587"/>
    </row>
    <row r="10" spans="1:9" ht="16" thickBot="1">
      <c r="A10" s="1443"/>
      <c r="B10" s="1444"/>
      <c r="C10" s="694">
        <v>40999</v>
      </c>
      <c r="D10" s="661" t="str">
        <f>'Løntabel gældende fra'!$D$1</f>
        <v>01/10/23</v>
      </c>
      <c r="E10" s="661" t="str">
        <f>'Løntabel gældende fra'!$D$1</f>
        <v>01/10/23</v>
      </c>
      <c r="F10" s="1590" t="s">
        <v>352</v>
      </c>
      <c r="G10" s="1586"/>
    </row>
    <row r="11" spans="1:9">
      <c r="A11" s="1334">
        <v>1</v>
      </c>
      <c r="B11" s="1335"/>
      <c r="C11" s="856">
        <v>285240</v>
      </c>
      <c r="D11" s="857">
        <f>ROUND(C11*(1+'Løntabel gældende fra'!$D$7/100),2)</f>
        <v>330649.34999999998</v>
      </c>
      <c r="E11" s="857">
        <f>ROUND(D11/12,2)</f>
        <v>27554.11</v>
      </c>
      <c r="F11" s="1600">
        <f>ROUND(E11*0.168,2)</f>
        <v>4629.09</v>
      </c>
      <c r="G11" s="1097"/>
    </row>
    <row r="12" spans="1:9">
      <c r="A12" s="1336">
        <v>2</v>
      </c>
      <c r="B12" s="1337"/>
      <c r="C12" s="858">
        <v>285240</v>
      </c>
      <c r="D12" s="660">
        <f>ROUND(C12*(1+'Løntabel gældende fra'!$D$7/100),2)</f>
        <v>330649.34999999998</v>
      </c>
      <c r="E12" s="660">
        <f t="shared" ref="E12:E15" si="0">ROUND(D12/12,2)</f>
        <v>27554.11</v>
      </c>
      <c r="F12" s="1601">
        <f t="shared" ref="F12:F15" si="1">ROUND(E12*0.168,2)</f>
        <v>4629.09</v>
      </c>
      <c r="G12" s="1089"/>
    </row>
    <row r="13" spans="1:9">
      <c r="A13" s="1336">
        <v>3</v>
      </c>
      <c r="B13" s="1337"/>
      <c r="C13" s="858">
        <v>307417</v>
      </c>
      <c r="D13" s="660">
        <f>ROUND(C13*(1+'Løntabel gældende fra'!$D$7/100),2)</f>
        <v>356356.86</v>
      </c>
      <c r="E13" s="660">
        <f t="shared" si="0"/>
        <v>29696.41</v>
      </c>
      <c r="F13" s="1601">
        <f t="shared" si="1"/>
        <v>4989</v>
      </c>
      <c r="G13" s="1089"/>
    </row>
    <row r="14" spans="1:9">
      <c r="A14" s="1336">
        <v>4</v>
      </c>
      <c r="B14" s="1337"/>
      <c r="C14" s="858">
        <v>327643</v>
      </c>
      <c r="D14" s="660">
        <f>ROUND(C14*(1+'Løntabel gældende fra'!$D$7/100),2)</f>
        <v>379802.78</v>
      </c>
      <c r="E14" s="660">
        <f t="shared" si="0"/>
        <v>31650.23</v>
      </c>
      <c r="F14" s="1601">
        <f t="shared" si="1"/>
        <v>5317.24</v>
      </c>
      <c r="G14" s="1089"/>
    </row>
    <row r="15" spans="1:9" ht="15" thickBot="1">
      <c r="A15" s="1330">
        <v>5</v>
      </c>
      <c r="B15" s="1331"/>
      <c r="C15" s="859">
        <v>347571</v>
      </c>
      <c r="D15" s="860">
        <f>ROUND(C15*(1+'Løntabel gældende fra'!$D$7/100),2)</f>
        <v>402903.26</v>
      </c>
      <c r="E15" s="860">
        <f t="shared" si="0"/>
        <v>33575.269999999997</v>
      </c>
      <c r="F15" s="1572">
        <f t="shared" si="1"/>
        <v>5640.65</v>
      </c>
      <c r="G15" s="1573"/>
    </row>
    <row r="16" spans="1:9">
      <c r="A16" s="1445" t="s">
        <v>415</v>
      </c>
      <c r="B16" s="1445"/>
      <c r="C16" s="1445"/>
      <c r="D16" s="1445"/>
      <c r="E16" s="1445"/>
      <c r="F16" s="1445"/>
      <c r="G16" s="1445"/>
      <c r="H16" s="1445"/>
    </row>
    <row r="17" spans="1:9" ht="15" thickBot="1">
      <c r="I17" s="639"/>
    </row>
    <row r="18" spans="1:9" ht="15" thickBot="1">
      <c r="A18" s="1447" t="s">
        <v>425</v>
      </c>
      <c r="B18" s="1448"/>
      <c r="C18" s="1449"/>
      <c r="D18" s="1447" t="s">
        <v>405</v>
      </c>
      <c r="E18" s="1448"/>
      <c r="F18" s="1449"/>
      <c r="G18" s="617"/>
    </row>
    <row r="19" spans="1:9" ht="15" thickBot="1">
      <c r="A19" s="697" t="s">
        <v>406</v>
      </c>
      <c r="B19" s="1436" t="s">
        <v>96</v>
      </c>
      <c r="C19" s="1437"/>
      <c r="D19" s="697" t="s">
        <v>406</v>
      </c>
      <c r="E19" s="1436" t="s">
        <v>96</v>
      </c>
      <c r="F19" s="1438"/>
      <c r="G19" s="617"/>
    </row>
    <row r="20" spans="1:9" ht="15.75" customHeight="1">
      <c r="A20" s="698">
        <v>2</v>
      </c>
      <c r="B20" s="1434" t="s">
        <v>407</v>
      </c>
      <c r="C20" s="1446"/>
      <c r="D20" s="698">
        <v>1</v>
      </c>
      <c r="E20" s="1434" t="s">
        <v>410</v>
      </c>
      <c r="F20" s="1435"/>
      <c r="G20" s="617"/>
    </row>
    <row r="21" spans="1:9">
      <c r="A21" s="699">
        <v>4</v>
      </c>
      <c r="B21" s="1366" t="s">
        <v>408</v>
      </c>
      <c r="C21" s="1367"/>
      <c r="D21" s="699">
        <v>3</v>
      </c>
      <c r="E21" s="1366" t="s">
        <v>411</v>
      </c>
      <c r="F21" s="1457"/>
      <c r="G21" s="617"/>
    </row>
    <row r="22" spans="1:9" ht="15" thickBot="1">
      <c r="A22" s="700">
        <v>5</v>
      </c>
      <c r="B22" s="1458" t="s">
        <v>409</v>
      </c>
      <c r="C22" s="1459"/>
      <c r="D22" s="700">
        <v>5</v>
      </c>
      <c r="E22" s="1458" t="s">
        <v>412</v>
      </c>
      <c r="F22" s="1547"/>
      <c r="G22" s="617"/>
    </row>
    <row r="23" spans="1:9" ht="14" customHeight="1" thickBot="1">
      <c r="A23" s="637"/>
      <c r="B23" s="637"/>
      <c r="C23" s="617"/>
      <c r="D23" s="617"/>
      <c r="E23" s="638"/>
      <c r="F23" s="617"/>
      <c r="G23" s="617"/>
    </row>
    <row r="24" spans="1:9" ht="22.5" customHeight="1">
      <c r="A24" s="1559" t="s">
        <v>384</v>
      </c>
      <c r="B24" s="1560"/>
      <c r="C24" s="1560"/>
      <c r="D24" s="1560"/>
      <c r="E24" s="1560"/>
      <c r="F24" s="1560"/>
      <c r="G24" s="1561"/>
    </row>
    <row r="25" spans="1:9" ht="20.25" customHeight="1" thickBot="1">
      <c r="A25" s="1550" t="s">
        <v>539</v>
      </c>
      <c r="B25" s="1551"/>
      <c r="C25" s="1551"/>
      <c r="D25" s="1551"/>
      <c r="E25" s="1551"/>
      <c r="F25" s="1551"/>
      <c r="G25" s="1552"/>
    </row>
    <row r="26" spans="1:9" ht="15.75" customHeight="1">
      <c r="A26" s="1439" t="s">
        <v>94</v>
      </c>
      <c r="B26" s="1440"/>
      <c r="C26" s="1454" t="s">
        <v>131</v>
      </c>
      <c r="D26" s="1368" t="s">
        <v>340</v>
      </c>
      <c r="E26" s="1368" t="s">
        <v>278</v>
      </c>
      <c r="F26" s="1539" t="str">
        <f>F8</f>
        <v>Pensionsbidrag til AkedemikerPension</v>
      </c>
      <c r="G26" s="1516"/>
    </row>
    <row r="27" spans="1:9" ht="15" customHeight="1">
      <c r="A27" s="1441"/>
      <c r="B27" s="1442"/>
      <c r="C27" s="1455"/>
      <c r="D27" s="1369"/>
      <c r="E27" s="1369"/>
      <c r="F27" s="1540"/>
      <c r="G27" s="1587"/>
    </row>
    <row r="28" spans="1:9" ht="16" thickBot="1">
      <c r="A28" s="1585"/>
      <c r="B28" s="1586"/>
      <c r="C28" s="694">
        <v>40999</v>
      </c>
      <c r="D28" s="661" t="str">
        <f>'Løntabel gældende fra'!$D$1</f>
        <v>01/10/23</v>
      </c>
      <c r="E28" s="661" t="str">
        <f>'Løntabel gældende fra'!$D$1</f>
        <v>01/10/23</v>
      </c>
      <c r="F28" s="1588">
        <v>0.16800000000000001</v>
      </c>
      <c r="G28" s="1589"/>
    </row>
    <row r="29" spans="1:9">
      <c r="A29" s="1548" t="s">
        <v>383</v>
      </c>
      <c r="B29" s="1549"/>
      <c r="C29" s="861">
        <v>38000</v>
      </c>
      <c r="D29" s="862">
        <f>ROUND(C29*(1+'Løntabel gældende fra'!$D$7/100),2)</f>
        <v>44049.49</v>
      </c>
      <c r="E29" s="862">
        <f>ROUND(D29/12,2)</f>
        <v>3670.79</v>
      </c>
      <c r="F29" s="1566">
        <f>ROUND(E29*0.168,2)</f>
        <v>616.69000000000005</v>
      </c>
      <c r="G29" s="1567"/>
    </row>
    <row r="30" spans="1:9" ht="14.25" customHeight="1">
      <c r="A30" s="1336" t="s">
        <v>382</v>
      </c>
      <c r="B30" s="1337"/>
      <c r="C30" s="863">
        <v>38000</v>
      </c>
      <c r="D30" s="664">
        <f>ROUND(C30*(1+'Løntabel gældende fra'!$D$7/100),2)</f>
        <v>44049.49</v>
      </c>
      <c r="E30" s="664">
        <f t="shared" ref="E30:E35" si="2">ROUND(D30/12,2)</f>
        <v>3670.79</v>
      </c>
      <c r="F30" s="1568">
        <f t="shared" ref="F30:F35" si="3">ROUND(E30*0.168,2)</f>
        <v>616.69000000000005</v>
      </c>
      <c r="G30" s="1569"/>
    </row>
    <row r="31" spans="1:9">
      <c r="A31" s="1336" t="s">
        <v>381</v>
      </c>
      <c r="B31" s="1337"/>
      <c r="C31" s="863">
        <v>50000</v>
      </c>
      <c r="D31" s="664">
        <f>ROUND(C31*(1+'Løntabel gældende fra'!$D$7/100),2)</f>
        <v>57959.85</v>
      </c>
      <c r="E31" s="664">
        <f t="shared" si="2"/>
        <v>4829.99</v>
      </c>
      <c r="F31" s="1568">
        <f t="shared" si="3"/>
        <v>811.44</v>
      </c>
      <c r="G31" s="1569"/>
    </row>
    <row r="32" spans="1:9">
      <c r="A32" s="1336" t="s">
        <v>380</v>
      </c>
      <c r="B32" s="1337"/>
      <c r="C32" s="863">
        <v>50000</v>
      </c>
      <c r="D32" s="664">
        <f>ROUND(C32*(1+'Løntabel gældende fra'!$D$7/100),2)</f>
        <v>57959.85</v>
      </c>
      <c r="E32" s="664">
        <f t="shared" si="2"/>
        <v>4829.99</v>
      </c>
      <c r="F32" s="1568">
        <f t="shared" si="3"/>
        <v>811.44</v>
      </c>
      <c r="G32" s="1569"/>
    </row>
    <row r="33" spans="1:7" ht="15" customHeight="1">
      <c r="A33" s="1350" t="s">
        <v>379</v>
      </c>
      <c r="B33" s="1351"/>
      <c r="C33" s="863">
        <v>50000</v>
      </c>
      <c r="D33" s="664">
        <f>ROUND(C33*(1+'Løntabel gældende fra'!$D$7/100),2)</f>
        <v>57959.85</v>
      </c>
      <c r="E33" s="664">
        <f t="shared" si="2"/>
        <v>4829.99</v>
      </c>
      <c r="F33" s="1568">
        <f t="shared" si="3"/>
        <v>811.44</v>
      </c>
      <c r="G33" s="1569"/>
    </row>
    <row r="34" spans="1:7" ht="15.75" customHeight="1">
      <c r="A34" s="1336" t="s">
        <v>404</v>
      </c>
      <c r="B34" s="1337"/>
      <c r="C34" s="863">
        <v>50000</v>
      </c>
      <c r="D34" s="664">
        <f>ROUND(C34*(1+'Løntabel gældende fra'!$D$7/100),2)</f>
        <v>57959.85</v>
      </c>
      <c r="E34" s="664">
        <f t="shared" si="2"/>
        <v>4829.99</v>
      </c>
      <c r="F34" s="1568">
        <f t="shared" si="3"/>
        <v>811.44</v>
      </c>
      <c r="G34" s="1569"/>
    </row>
    <row r="35" spans="1:7" ht="15.75" customHeight="1" thickBot="1">
      <c r="A35" s="1443" t="s">
        <v>378</v>
      </c>
      <c r="B35" s="1444"/>
      <c r="C35" s="864">
        <v>72500</v>
      </c>
      <c r="D35" s="865">
        <f>ROUND(C35*(1+'Løntabel gældende fra'!$D$7/100),2)</f>
        <v>84041.78</v>
      </c>
      <c r="E35" s="865">
        <f t="shared" si="2"/>
        <v>7003.48</v>
      </c>
      <c r="F35" s="1570">
        <f t="shared" si="3"/>
        <v>1176.58</v>
      </c>
      <c r="G35" s="1571"/>
    </row>
    <row r="36" spans="1:7" ht="15.75" customHeight="1" thickBot="1">
      <c r="A36" s="636"/>
      <c r="B36" s="636"/>
      <c r="C36" s="636"/>
      <c r="D36" s="636"/>
      <c r="E36" s="636"/>
      <c r="F36" s="636"/>
      <c r="G36" s="636"/>
    </row>
    <row r="37" spans="1:7" ht="19.5" customHeight="1">
      <c r="A37" s="1153" t="s">
        <v>389</v>
      </c>
      <c r="B37" s="1154"/>
      <c r="C37" s="1154"/>
      <c r="D37" s="1154"/>
      <c r="E37" s="1154"/>
      <c r="F37" s="1154"/>
      <c r="G37" s="1155"/>
    </row>
    <row r="38" spans="1:7" ht="25.5" customHeight="1">
      <c r="A38" s="1553" t="s">
        <v>388</v>
      </c>
      <c r="B38" s="1554"/>
      <c r="C38" s="1554"/>
      <c r="D38" s="1554"/>
      <c r="E38" s="1554"/>
      <c r="F38" s="1554"/>
      <c r="G38" s="1555"/>
    </row>
    <row r="39" spans="1:7" ht="18" customHeight="1" thickBot="1">
      <c r="A39" s="1550" t="s">
        <v>538</v>
      </c>
      <c r="B39" s="1551"/>
      <c r="C39" s="1551"/>
      <c r="D39" s="1551"/>
      <c r="E39" s="1551"/>
      <c r="F39" s="1551"/>
      <c r="G39" s="1552"/>
    </row>
    <row r="40" spans="1:7" ht="19.5" customHeight="1" thickBot="1">
      <c r="A40" s="1563" t="s">
        <v>377</v>
      </c>
      <c r="B40" s="1564"/>
      <c r="C40" s="1564"/>
      <c r="D40" s="1564"/>
      <c r="E40" s="1564"/>
      <c r="F40" s="1564"/>
      <c r="G40" s="1565"/>
    </row>
    <row r="41" spans="1:7">
      <c r="A41" s="1514" t="s">
        <v>375</v>
      </c>
      <c r="B41" s="1515"/>
      <c r="C41" s="1515"/>
      <c r="D41" s="1516"/>
      <c r="E41" s="1454" t="s">
        <v>131</v>
      </c>
      <c r="F41" s="1368" t="s">
        <v>340</v>
      </c>
      <c r="G41" s="1440" t="s">
        <v>278</v>
      </c>
    </row>
    <row r="42" spans="1:7">
      <c r="A42" s="1517"/>
      <c r="B42" s="1518"/>
      <c r="C42" s="1518"/>
      <c r="D42" s="1519"/>
      <c r="E42" s="1455"/>
      <c r="F42" s="1369"/>
      <c r="G42" s="1442"/>
    </row>
    <row r="43" spans="1:7" ht="16" thickBot="1">
      <c r="A43" s="1520"/>
      <c r="B43" s="1521"/>
      <c r="C43" s="1521"/>
      <c r="D43" s="1522"/>
      <c r="E43" s="694">
        <v>40999</v>
      </c>
      <c r="F43" s="666" t="str">
        <f>'Løntabel gældende fra'!$D$1</f>
        <v>01/10/23</v>
      </c>
      <c r="G43" s="720" t="str">
        <f>F43</f>
        <v>01/10/23</v>
      </c>
    </row>
    <row r="44" spans="1:7">
      <c r="A44" s="1523">
        <v>-200</v>
      </c>
      <c r="B44" s="1524"/>
      <c r="C44" s="1524"/>
      <c r="D44" s="1525"/>
      <c r="E44" s="662">
        <v>18200</v>
      </c>
      <c r="F44" s="660">
        <f>ROUND(E44*(1+'Løntabel gældende fra'!$D$7/100),2)</f>
        <v>21097.39</v>
      </c>
      <c r="G44" s="377">
        <f>ROUND(F44/12,2)</f>
        <v>1758.12</v>
      </c>
    </row>
    <row r="45" spans="1:7">
      <c r="A45" s="1526" t="s">
        <v>374</v>
      </c>
      <c r="B45" s="1527"/>
      <c r="C45" s="1527"/>
      <c r="D45" s="1528"/>
      <c r="E45" s="633">
        <v>33300</v>
      </c>
      <c r="F45" s="660">
        <f>ROUND(E45*(1+'Løntabel gældende fra'!$D$7/100),2)</f>
        <v>38601.26</v>
      </c>
      <c r="G45" s="377">
        <f t="shared" ref="G45:G48" si="4">ROUND(F45/12,2)</f>
        <v>3216.77</v>
      </c>
    </row>
    <row r="46" spans="1:7">
      <c r="A46" s="1526" t="s">
        <v>373</v>
      </c>
      <c r="B46" s="1527"/>
      <c r="C46" s="1527"/>
      <c r="D46" s="1528"/>
      <c r="E46" s="633">
        <v>44000</v>
      </c>
      <c r="F46" s="660">
        <f>ROUND(E46*(1+'Løntabel gældende fra'!$D$7/100),2)</f>
        <v>51004.67</v>
      </c>
      <c r="G46" s="377">
        <f t="shared" si="4"/>
        <v>4250.3900000000003</v>
      </c>
    </row>
    <row r="47" spans="1:7" ht="14" customHeight="1">
      <c r="A47" s="1526" t="s">
        <v>372</v>
      </c>
      <c r="B47" s="1527"/>
      <c r="C47" s="1527"/>
      <c r="D47" s="1528"/>
      <c r="E47" s="633">
        <v>54700</v>
      </c>
      <c r="F47" s="660">
        <f>ROUND(E47*(1+'Løntabel gældende fra'!$D$7/100),2)</f>
        <v>63408.08</v>
      </c>
      <c r="G47" s="377">
        <f t="shared" si="4"/>
        <v>5284.01</v>
      </c>
    </row>
    <row r="48" spans="1:7" ht="15" thickBot="1">
      <c r="A48" s="1370" t="s">
        <v>371</v>
      </c>
      <c r="B48" s="1371"/>
      <c r="C48" s="1371"/>
      <c r="D48" s="1372"/>
      <c r="E48" s="635">
        <v>60700</v>
      </c>
      <c r="F48" s="660">
        <f>ROUND(E48*(1+'Løntabel gældende fra'!$D$7/100),2)</f>
        <v>70363.259999999995</v>
      </c>
      <c r="G48" s="377">
        <f t="shared" si="4"/>
        <v>5863.61</v>
      </c>
    </row>
    <row r="49" spans="1:10" ht="22.5" customHeight="1" thickBot="1">
      <c r="A49" s="1563" t="s">
        <v>376</v>
      </c>
      <c r="B49" s="1564"/>
      <c r="C49" s="1564"/>
      <c r="D49" s="1564"/>
      <c r="E49" s="1564"/>
      <c r="F49" s="1564"/>
      <c r="G49" s="1565"/>
    </row>
    <row r="50" spans="1:10">
      <c r="A50" s="1514" t="s">
        <v>375</v>
      </c>
      <c r="B50" s="1515"/>
      <c r="C50" s="1515"/>
      <c r="D50" s="1516"/>
      <c r="E50" s="1541" t="s">
        <v>131</v>
      </c>
      <c r="F50" s="1543" t="s">
        <v>340</v>
      </c>
      <c r="G50" s="1545" t="s">
        <v>278</v>
      </c>
    </row>
    <row r="51" spans="1:10">
      <c r="A51" s="1517"/>
      <c r="B51" s="1518"/>
      <c r="C51" s="1518"/>
      <c r="D51" s="1519"/>
      <c r="E51" s="1542"/>
      <c r="F51" s="1544"/>
      <c r="G51" s="1546"/>
    </row>
    <row r="52" spans="1:10" ht="16" thickBot="1">
      <c r="A52" s="1520"/>
      <c r="B52" s="1521"/>
      <c r="C52" s="1521"/>
      <c r="D52" s="1522"/>
      <c r="E52" s="694">
        <v>40999</v>
      </c>
      <c r="F52" s="666" t="str">
        <f>'Løntabel gældende fra'!$D$1</f>
        <v>01/10/23</v>
      </c>
      <c r="G52" s="720" t="str">
        <f>F52</f>
        <v>01/10/23</v>
      </c>
      <c r="J52" s="617"/>
    </row>
    <row r="53" spans="1:10">
      <c r="A53" s="1523">
        <v>-200</v>
      </c>
      <c r="B53" s="1524"/>
      <c r="C53" s="1524"/>
      <c r="D53" s="1525"/>
      <c r="E53" s="662">
        <v>12500</v>
      </c>
      <c r="F53" s="660">
        <f>ROUND(E53*(1+'Løntabel gældende fra'!$D$7/100),2)</f>
        <v>14489.96</v>
      </c>
      <c r="G53" s="377">
        <f>ROUND(F53/12,2)</f>
        <v>1207.5</v>
      </c>
      <c r="J53" s="619"/>
    </row>
    <row r="54" spans="1:10" ht="14" customHeight="1">
      <c r="A54" s="1526" t="s">
        <v>374</v>
      </c>
      <c r="B54" s="1527"/>
      <c r="C54" s="1527"/>
      <c r="D54" s="1528"/>
      <c r="E54" s="633">
        <v>13600</v>
      </c>
      <c r="F54" s="660">
        <f>ROUND(E54*(1+'Løntabel gældende fra'!$D$7/100),2)</f>
        <v>15765.08</v>
      </c>
      <c r="G54" s="377">
        <f t="shared" ref="G54:G57" si="5">ROUND(F54/12,2)</f>
        <v>1313.76</v>
      </c>
    </row>
    <row r="55" spans="1:10" ht="15" customHeight="1">
      <c r="A55" s="1526" t="s">
        <v>373</v>
      </c>
      <c r="B55" s="1527"/>
      <c r="C55" s="1527"/>
      <c r="D55" s="1528"/>
      <c r="E55" s="633">
        <v>18200</v>
      </c>
      <c r="F55" s="660">
        <f>ROUND(E55*(1+'Løntabel gældende fra'!$D$7/100),2)</f>
        <v>21097.39</v>
      </c>
      <c r="G55" s="377">
        <f t="shared" si="5"/>
        <v>1758.12</v>
      </c>
    </row>
    <row r="56" spans="1:10" ht="15" customHeight="1">
      <c r="A56" s="1526" t="s">
        <v>372</v>
      </c>
      <c r="B56" s="1527"/>
      <c r="C56" s="1527"/>
      <c r="D56" s="1528"/>
      <c r="E56" s="633">
        <v>25200</v>
      </c>
      <c r="F56" s="660">
        <f>ROUND(E56*(1+'Løntabel gældende fra'!$D$7/100),2)</f>
        <v>29211.759999999998</v>
      </c>
      <c r="G56" s="377">
        <f t="shared" si="5"/>
        <v>2434.31</v>
      </c>
    </row>
    <row r="57" spans="1:10" ht="16.5" customHeight="1" thickBot="1">
      <c r="A57" s="1370" t="s">
        <v>371</v>
      </c>
      <c r="B57" s="1371"/>
      <c r="C57" s="1371"/>
      <c r="D57" s="1372"/>
      <c r="E57" s="635">
        <v>28000</v>
      </c>
      <c r="F57" s="660">
        <f>ROUND(E57*(1+'Løntabel gældende fra'!$D$7/100),2)</f>
        <v>32457.52</v>
      </c>
      <c r="G57" s="377">
        <f t="shared" si="5"/>
        <v>2704.79</v>
      </c>
    </row>
    <row r="58" spans="1:10" ht="15.75" customHeight="1" thickBot="1">
      <c r="A58" s="621"/>
      <c r="B58" s="621"/>
      <c r="C58" s="621"/>
      <c r="D58" s="621"/>
      <c r="E58" s="621"/>
      <c r="F58" s="621"/>
      <c r="G58" s="621"/>
    </row>
    <row r="59" spans="1:10" ht="17.25" customHeight="1">
      <c r="A59" s="1167" t="s">
        <v>370</v>
      </c>
      <c r="B59" s="1168"/>
      <c r="C59" s="1168"/>
      <c r="D59" s="1168"/>
      <c r="E59" s="1168"/>
      <c r="F59" s="1168"/>
      <c r="G59" s="1169"/>
    </row>
    <row r="60" spans="1:10" ht="17.25" customHeight="1" thickBot="1">
      <c r="A60" s="1126" t="s">
        <v>537</v>
      </c>
      <c r="B60" s="1127"/>
      <c r="C60" s="1127"/>
      <c r="D60" s="1127"/>
      <c r="E60" s="1127"/>
      <c r="F60" s="1127"/>
      <c r="G60" s="1128"/>
    </row>
    <row r="61" spans="1:10" ht="28" customHeight="1">
      <c r="A61" s="1439" t="s">
        <v>403</v>
      </c>
      <c r="B61" s="1368"/>
      <c r="C61" s="1440" t="s">
        <v>369</v>
      </c>
      <c r="D61" s="1454" t="s">
        <v>131</v>
      </c>
      <c r="E61" s="1368" t="s">
        <v>340</v>
      </c>
      <c r="F61" s="1602" t="s">
        <v>278</v>
      </c>
      <c r="G61" s="1577" t="s">
        <v>505</v>
      </c>
    </row>
    <row r="62" spans="1:10" ht="17.25" customHeight="1">
      <c r="A62" s="1441"/>
      <c r="B62" s="1369"/>
      <c r="C62" s="1442"/>
      <c r="D62" s="1455"/>
      <c r="E62" s="1369"/>
      <c r="F62" s="1603"/>
      <c r="G62" s="1578"/>
    </row>
    <row r="63" spans="1:10" ht="14" customHeight="1" thickBot="1">
      <c r="A63" s="1443"/>
      <c r="B63" s="1579"/>
      <c r="C63" s="1444"/>
      <c r="D63" s="693">
        <v>40999</v>
      </c>
      <c r="E63" s="666" t="str">
        <f>'Løntabel gældende fra'!$D$1</f>
        <v>01/10/23</v>
      </c>
      <c r="F63" s="666" t="str">
        <f>E63</f>
        <v>01/10/23</v>
      </c>
      <c r="G63" s="667">
        <v>0.16800000000000001</v>
      </c>
      <c r="H63" s="617"/>
    </row>
    <row r="64" spans="1:10" ht="14" customHeight="1">
      <c r="A64" s="1460" t="s">
        <v>368</v>
      </c>
      <c r="B64" s="1461"/>
      <c r="C64" s="669" t="s">
        <v>367</v>
      </c>
      <c r="D64" s="668">
        <v>4300</v>
      </c>
      <c r="E64" s="664">
        <f>ROUND(D64*(1+'Løntabel gældende fra'!$D$7/100),2)</f>
        <v>4984.55</v>
      </c>
      <c r="F64" s="664">
        <f>ROUND(E64/12,2)</f>
        <v>415.38</v>
      </c>
      <c r="G64" s="665">
        <f>ROUND(F64*0.168,2)</f>
        <v>69.78</v>
      </c>
    </row>
    <row r="65" spans="1:9" ht="14.5" customHeight="1">
      <c r="A65" s="1238" t="s">
        <v>364</v>
      </c>
      <c r="B65" s="1456"/>
      <c r="C65" s="670" t="s">
        <v>366</v>
      </c>
      <c r="D65" s="663">
        <v>6900</v>
      </c>
      <c r="E65" s="664">
        <f>ROUND(D65*(1+'Løntabel gældende fra'!$D$7/100),2)</f>
        <v>7998.46</v>
      </c>
      <c r="F65" s="664">
        <f t="shared" ref="F65:F69" si="6">ROUND(E65/12,2)</f>
        <v>666.54</v>
      </c>
      <c r="G65" s="665">
        <f t="shared" ref="G65:G69" si="7">ROUND(F65*0.168,2)</f>
        <v>111.98</v>
      </c>
    </row>
    <row r="66" spans="1:9" ht="14" customHeight="1">
      <c r="A66" s="1238" t="s">
        <v>364</v>
      </c>
      <c r="B66" s="1456"/>
      <c r="C66" s="670" t="s">
        <v>365</v>
      </c>
      <c r="D66" s="633">
        <v>12600</v>
      </c>
      <c r="E66" s="664">
        <f>ROUND(D66*(1+'Løntabel gældende fra'!$D$7/100),2)</f>
        <v>14605.88</v>
      </c>
      <c r="F66" s="664">
        <f t="shared" si="6"/>
        <v>1217.1600000000001</v>
      </c>
      <c r="G66" s="665">
        <f t="shared" si="7"/>
        <v>204.48</v>
      </c>
    </row>
    <row r="67" spans="1:9" ht="15.75" customHeight="1">
      <c r="A67" s="1238" t="s">
        <v>364</v>
      </c>
      <c r="B67" s="1456"/>
      <c r="C67" s="670" t="s">
        <v>363</v>
      </c>
      <c r="D67" s="633">
        <v>19500</v>
      </c>
      <c r="E67" s="664">
        <f>ROUND(D67*(1+'Løntabel gældende fra'!$D$7/100),2)</f>
        <v>22604.34</v>
      </c>
      <c r="F67" s="664">
        <f t="shared" si="6"/>
        <v>1883.7</v>
      </c>
      <c r="G67" s="665">
        <f t="shared" si="7"/>
        <v>316.45999999999998</v>
      </c>
    </row>
    <row r="68" spans="1:9" ht="32.25" customHeight="1">
      <c r="A68" s="1238" t="s">
        <v>361</v>
      </c>
      <c r="B68" s="1456"/>
      <c r="C68" s="671" t="s">
        <v>362</v>
      </c>
      <c r="D68" s="663">
        <v>19500</v>
      </c>
      <c r="E68" s="664">
        <f>ROUND(D68*(1+'Løntabel gældende fra'!$D$7/100),2)</f>
        <v>22604.34</v>
      </c>
      <c r="F68" s="664">
        <f t="shared" si="6"/>
        <v>1883.7</v>
      </c>
      <c r="G68" s="665">
        <f t="shared" si="7"/>
        <v>316.45999999999998</v>
      </c>
    </row>
    <row r="69" spans="1:9" ht="29.25" customHeight="1" thickBot="1">
      <c r="A69" s="1483" t="s">
        <v>361</v>
      </c>
      <c r="B69" s="1484"/>
      <c r="C69" s="672" t="s">
        <v>414</v>
      </c>
      <c r="D69" s="634">
        <v>39000</v>
      </c>
      <c r="E69" s="664">
        <f>ROUND(D69*(1+'Løntabel gældende fra'!$D$7/100),2)</f>
        <v>45208.68</v>
      </c>
      <c r="F69" s="664">
        <f t="shared" si="6"/>
        <v>3767.39</v>
      </c>
      <c r="G69" s="665">
        <f t="shared" si="7"/>
        <v>632.91999999999996</v>
      </c>
    </row>
    <row r="70" spans="1:9" ht="14" customHeight="1" thickBot="1">
      <c r="A70" s="622"/>
      <c r="B70" s="622"/>
      <c r="C70" s="622"/>
      <c r="D70" s="622"/>
      <c r="E70" s="622"/>
      <c r="F70" s="622"/>
      <c r="G70" s="622"/>
      <c r="H70" s="617"/>
      <c r="I70" s="617"/>
    </row>
    <row r="71" spans="1:9" ht="16.5" customHeight="1">
      <c r="A71" s="1167" t="s">
        <v>360</v>
      </c>
      <c r="B71" s="1168"/>
      <c r="C71" s="1168"/>
      <c r="D71" s="1168"/>
      <c r="E71" s="1168"/>
      <c r="F71" s="1168"/>
      <c r="G71" s="1169"/>
    </row>
    <row r="72" spans="1:9" ht="16" customHeight="1" thickBot="1">
      <c r="A72" s="1404" t="s">
        <v>391</v>
      </c>
      <c r="B72" s="1405"/>
      <c r="C72" s="1405"/>
      <c r="D72" s="1405"/>
      <c r="E72" s="1405"/>
      <c r="F72" s="1405"/>
      <c r="G72" s="1406"/>
    </row>
    <row r="73" spans="1:9" ht="16.5" customHeight="1">
      <c r="A73" s="1514" t="s">
        <v>131</v>
      </c>
      <c r="B73" s="1536"/>
      <c r="C73" s="1539" t="s">
        <v>340</v>
      </c>
      <c r="D73" s="1536"/>
      <c r="E73" s="1368" t="str">
        <f>F8</f>
        <v>Pensionsbidrag til AkedemikerPension</v>
      </c>
      <c r="F73" s="1368"/>
      <c r="G73" s="1440"/>
    </row>
    <row r="74" spans="1:9" ht="15" customHeight="1">
      <c r="A74" s="1537"/>
      <c r="B74" s="1538"/>
      <c r="C74" s="1540"/>
      <c r="D74" s="1538"/>
      <c r="E74" s="1369"/>
      <c r="F74" s="1369"/>
      <c r="G74" s="1442"/>
    </row>
    <row r="75" spans="1:9" ht="15" thickBot="1">
      <c r="A75" s="1580">
        <v>40999</v>
      </c>
      <c r="B75" s="1581"/>
      <c r="C75" s="1582" t="str">
        <f>'Løntabel gældende fra'!$D$1</f>
        <v>01/10/23</v>
      </c>
      <c r="D75" s="1583"/>
      <c r="E75" s="1579" t="s">
        <v>352</v>
      </c>
      <c r="F75" s="1579"/>
      <c r="G75" s="1444"/>
    </row>
    <row r="76" spans="1:9" ht="21.75" customHeight="1" thickBot="1">
      <c r="A76" s="1416">
        <v>21900</v>
      </c>
      <c r="B76" s="1418"/>
      <c r="C76" s="1428">
        <f>ROUND(A76*(1+'Løntabel gældende fra'!$D$7/100),2)</f>
        <v>25386.41</v>
      </c>
      <c r="D76" s="1418"/>
      <c r="E76" s="1572">
        <f>ROUND(C76*0.168,2)</f>
        <v>4264.92</v>
      </c>
      <c r="F76" s="1572"/>
      <c r="G76" s="1573"/>
    </row>
    <row r="77" spans="1:9" ht="16.5" customHeight="1">
      <c r="A77" s="7" t="s">
        <v>359</v>
      </c>
      <c r="B77" s="620"/>
      <c r="C77" s="620"/>
      <c r="D77" s="620"/>
      <c r="E77" s="620"/>
      <c r="F77" s="620"/>
      <c r="G77" s="620"/>
    </row>
    <row r="78" spans="1:9" ht="21" customHeight="1" thickBot="1">
      <c r="A78" s="14"/>
      <c r="B78" s="14"/>
      <c r="C78" s="14"/>
      <c r="D78" s="14"/>
      <c r="E78" s="14"/>
      <c r="F78" s="14"/>
      <c r="G78" s="14"/>
    </row>
    <row r="79" spans="1:9" ht="19.5" customHeight="1">
      <c r="A79" s="1401" t="s">
        <v>358</v>
      </c>
      <c r="B79" s="1402"/>
      <c r="C79" s="1402"/>
      <c r="D79" s="1402"/>
      <c r="E79" s="1402"/>
      <c r="F79" s="1402"/>
      <c r="G79" s="1403"/>
    </row>
    <row r="80" spans="1:9" ht="20.25" customHeight="1" thickBot="1">
      <c r="A80" s="1404" t="s">
        <v>392</v>
      </c>
      <c r="B80" s="1405"/>
      <c r="C80" s="1405"/>
      <c r="D80" s="1405"/>
      <c r="E80" s="1405"/>
      <c r="F80" s="1405"/>
      <c r="G80" s="1406"/>
    </row>
    <row r="81" spans="1:10" ht="12.75" customHeight="1">
      <c r="A81" s="1407" t="s">
        <v>131</v>
      </c>
      <c r="B81" s="1408"/>
      <c r="C81" s="1408"/>
      <c r="D81" s="1409"/>
      <c r="E81" s="1419" t="s">
        <v>340</v>
      </c>
      <c r="F81" s="1420"/>
      <c r="G81" s="1421"/>
    </row>
    <row r="82" spans="1:10" ht="11.25" customHeight="1">
      <c r="A82" s="1410"/>
      <c r="B82" s="1411"/>
      <c r="C82" s="1411"/>
      <c r="D82" s="1412"/>
      <c r="E82" s="1422"/>
      <c r="F82" s="1423"/>
      <c r="G82" s="1424"/>
    </row>
    <row r="83" spans="1:10" ht="12.75" customHeight="1" thickBot="1">
      <c r="A83" s="1413">
        <v>40999</v>
      </c>
      <c r="B83" s="1414"/>
      <c r="C83" s="1414"/>
      <c r="D83" s="1415"/>
      <c r="E83" s="1425" t="str">
        <f>'Løntabel gældende fra'!$D$1</f>
        <v>01/10/23</v>
      </c>
      <c r="F83" s="1426"/>
      <c r="G83" s="1427"/>
      <c r="J83" s="618"/>
    </row>
    <row r="84" spans="1:10" ht="17.25" customHeight="1" thickBot="1">
      <c r="A84" s="1416">
        <v>8800</v>
      </c>
      <c r="B84" s="1417"/>
      <c r="C84" s="1417"/>
      <c r="D84" s="1418"/>
      <c r="E84" s="1428">
        <f>ROUND(A84*(1+'Løntabel gældende fra'!$D$7/100),2)</f>
        <v>10200.93</v>
      </c>
      <c r="F84" s="1417"/>
      <c r="G84" s="1429"/>
      <c r="J84" s="617"/>
    </row>
    <row r="85" spans="1:10" ht="17.25" customHeight="1" thickBot="1">
      <c r="A85" s="223"/>
      <c r="B85" s="223"/>
      <c r="C85" s="223"/>
      <c r="D85" s="223"/>
      <c r="E85" s="223"/>
      <c r="F85" s="223"/>
      <c r="G85" s="223"/>
      <c r="J85" s="617"/>
    </row>
    <row r="86" spans="1:10" ht="21" customHeight="1" thickBot="1">
      <c r="A86" s="1464" t="s">
        <v>393</v>
      </c>
      <c r="B86" s="1465"/>
      <c r="C86" s="1465"/>
      <c r="D86" s="1465"/>
      <c r="E86" s="1465"/>
      <c r="F86" s="1465"/>
      <c r="G86" s="1466"/>
      <c r="J86" s="617"/>
    </row>
    <row r="87" spans="1:10" ht="12.75" customHeight="1" thickBot="1">
      <c r="A87" s="630"/>
      <c r="B87" s="630"/>
      <c r="C87" s="630"/>
      <c r="D87" s="630"/>
      <c r="E87" s="630"/>
      <c r="F87" s="630"/>
      <c r="G87" s="630"/>
    </row>
    <row r="88" spans="1:10" ht="26" customHeight="1" thickBot="1">
      <c r="A88" s="1467" t="s">
        <v>533</v>
      </c>
      <c r="B88" s="1468"/>
      <c r="C88" s="1468"/>
      <c r="D88" s="1468"/>
      <c r="E88" s="1468"/>
      <c r="F88" s="1468"/>
      <c r="G88" s="1469"/>
    </row>
    <row r="89" spans="1:10" ht="17.25" customHeight="1">
      <c r="A89" s="1373" t="s">
        <v>536</v>
      </c>
      <c r="B89" s="1374"/>
      <c r="C89" s="1374"/>
      <c r="D89" s="1374"/>
      <c r="E89" s="1374"/>
      <c r="F89" s="1374"/>
      <c r="G89" s="1375"/>
    </row>
    <row r="90" spans="1:10" ht="72" customHeight="1" thickBot="1">
      <c r="A90" s="1376"/>
      <c r="B90" s="1377"/>
      <c r="C90" s="1377"/>
      <c r="D90" s="1377"/>
      <c r="E90" s="1377"/>
      <c r="F90" s="1377"/>
      <c r="G90" s="1378"/>
    </row>
    <row r="91" spans="1:10" ht="18" customHeight="1" thickBot="1">
      <c r="A91" s="979"/>
      <c r="B91" s="979"/>
      <c r="C91" s="979"/>
      <c r="D91" s="979"/>
      <c r="E91" s="979"/>
      <c r="F91" s="979"/>
      <c r="G91" s="979"/>
    </row>
    <row r="92" spans="1:10" ht="44" customHeight="1" thickBot="1">
      <c r="A92" s="1379" t="s">
        <v>534</v>
      </c>
      <c r="B92" s="1380"/>
      <c r="C92" s="1380"/>
      <c r="D92" s="1380"/>
      <c r="E92" s="1380"/>
      <c r="F92" s="1380"/>
      <c r="G92" s="1381"/>
    </row>
    <row r="93" spans="1:10" ht="18.75" customHeight="1">
      <c r="A93" s="1511" t="s">
        <v>535</v>
      </c>
      <c r="B93" s="1512"/>
      <c r="C93" s="1512"/>
      <c r="D93" s="1512"/>
      <c r="E93" s="1512"/>
      <c r="F93" s="1512"/>
      <c r="G93" s="1513"/>
    </row>
    <row r="94" spans="1:10" ht="15.75" customHeight="1">
      <c r="A94" s="1508" t="s">
        <v>413</v>
      </c>
      <c r="B94" s="1509"/>
      <c r="C94" s="1509"/>
      <c r="D94" s="1509"/>
      <c r="E94" s="1509"/>
      <c r="F94" s="1509"/>
      <c r="G94" s="1510"/>
    </row>
    <row r="95" spans="1:10" ht="29.25" customHeight="1">
      <c r="A95" s="1506" t="s">
        <v>57</v>
      </c>
      <c r="B95" s="1388" t="s">
        <v>131</v>
      </c>
      <c r="C95" s="1390" t="s">
        <v>340</v>
      </c>
      <c r="D95" s="1534" t="s">
        <v>397</v>
      </c>
      <c r="E95" s="1594" t="s">
        <v>93</v>
      </c>
      <c r="F95" s="1390"/>
      <c r="G95" s="1595"/>
    </row>
    <row r="96" spans="1:10" ht="20.25" customHeight="1">
      <c r="A96" s="1506"/>
      <c r="B96" s="1453"/>
      <c r="C96" s="1463"/>
      <c r="D96" s="1535"/>
      <c r="E96" s="1489"/>
      <c r="F96" s="1463"/>
      <c r="G96" s="1596"/>
      <c r="H96" s="617"/>
      <c r="I96" s="617"/>
    </row>
    <row r="97" spans="1:9" ht="32.25" customHeight="1" thickBot="1">
      <c r="A97" s="1507"/>
      <c r="B97" s="677">
        <v>40999</v>
      </c>
      <c r="C97" s="678" t="str">
        <f>'Løntabel gældende fra'!$D$1</f>
        <v>01/10/23</v>
      </c>
      <c r="D97" s="721" t="str">
        <f>C97</f>
        <v>01/10/23</v>
      </c>
      <c r="E97" s="1591" t="s">
        <v>349</v>
      </c>
      <c r="F97" s="1592"/>
      <c r="G97" s="1593"/>
      <c r="H97" s="617"/>
      <c r="I97" s="617"/>
    </row>
    <row r="98" spans="1:9" ht="21.75" customHeight="1" thickBot="1">
      <c r="A98" s="674">
        <v>50</v>
      </c>
      <c r="B98" s="673">
        <v>521094</v>
      </c>
      <c r="C98" s="675">
        <f>B98*(1+'Løntabel gældende fra'!$D$7/100)</f>
        <v>604050.60151800001</v>
      </c>
      <c r="D98" s="676">
        <f>ROUND(C98/12,2)</f>
        <v>50337.55</v>
      </c>
      <c r="E98" s="1574">
        <f>ROUND(D98*0.171,2)</f>
        <v>8607.7199999999993</v>
      </c>
      <c r="F98" s="1575"/>
      <c r="G98" s="1576"/>
      <c r="H98" s="618"/>
    </row>
    <row r="99" spans="1:9" ht="12.75" customHeight="1">
      <c r="A99" s="1494" t="s">
        <v>424</v>
      </c>
      <c r="B99" s="1494"/>
      <c r="C99" s="1494"/>
      <c r="D99" s="1494"/>
      <c r="E99" s="1495"/>
      <c r="F99" s="1495"/>
      <c r="G99" s="1495"/>
      <c r="H99" s="617"/>
    </row>
    <row r="100" spans="1:9" ht="45" customHeight="1" thickBot="1">
      <c r="A100" s="1496"/>
      <c r="B100" s="1496"/>
      <c r="C100" s="1496"/>
      <c r="D100" s="1496"/>
      <c r="E100" s="1496"/>
      <c r="F100" s="1496"/>
      <c r="G100" s="1496"/>
    </row>
    <row r="101" spans="1:9" ht="16.5" customHeight="1" thickBot="1">
      <c r="A101" s="1531" t="s">
        <v>357</v>
      </c>
      <c r="B101" s="1532"/>
      <c r="C101" s="1532"/>
      <c r="D101" s="1532"/>
      <c r="E101" s="1532"/>
      <c r="F101" s="1532"/>
      <c r="G101" s="1533"/>
    </row>
    <row r="102" spans="1:9" ht="19.5" customHeight="1">
      <c r="A102" s="1471" t="s">
        <v>356</v>
      </c>
      <c r="B102" s="1474" t="s">
        <v>394</v>
      </c>
      <c r="C102" s="1475"/>
      <c r="D102" s="1476"/>
      <c r="E102" s="1497" t="s">
        <v>394</v>
      </c>
      <c r="F102" s="1498"/>
      <c r="G102" s="1499"/>
    </row>
    <row r="103" spans="1:9" ht="14.25" customHeight="1">
      <c r="A103" s="1472"/>
      <c r="B103" s="1477">
        <v>40999</v>
      </c>
      <c r="C103" s="1478"/>
      <c r="D103" s="1479"/>
      <c r="E103" s="1500" t="str">
        <f>'Løntabel gældende fra'!$D$1</f>
        <v>01/10/23</v>
      </c>
      <c r="F103" s="1501"/>
      <c r="G103" s="1502"/>
    </row>
    <row r="104" spans="1:9">
      <c r="A104" s="1472"/>
      <c r="B104" s="1480"/>
      <c r="C104" s="1481"/>
      <c r="D104" s="1482"/>
      <c r="E104" s="1503"/>
      <c r="F104" s="1504"/>
      <c r="G104" s="1505"/>
    </row>
    <row r="105" spans="1:9" ht="18" thickBot="1">
      <c r="A105" s="1473"/>
      <c r="B105" s="1490" t="s">
        <v>395</v>
      </c>
      <c r="C105" s="1491"/>
      <c r="D105" s="683" t="s">
        <v>396</v>
      </c>
      <c r="E105" s="1491" t="s">
        <v>395</v>
      </c>
      <c r="F105" s="1491"/>
      <c r="G105" s="684" t="s">
        <v>396</v>
      </c>
    </row>
    <row r="106" spans="1:9" ht="18" customHeight="1">
      <c r="A106" s="692">
        <v>1</v>
      </c>
      <c r="B106" s="1529">
        <v>485345</v>
      </c>
      <c r="C106" s="1530"/>
      <c r="D106" s="681">
        <v>511173</v>
      </c>
      <c r="E106" s="1470">
        <f>ROUND(B106*(1+'Løntabel gældende fra'!$D$7/100),2)</f>
        <v>562610.47</v>
      </c>
      <c r="F106" s="1470"/>
      <c r="G106" s="682">
        <f>ROUND(D106*(1+'Løntabel gældende fra'!$D$7/100),2)</f>
        <v>592550.21</v>
      </c>
    </row>
    <row r="107" spans="1:9" ht="17" thickBot="1">
      <c r="A107" s="680">
        <v>2</v>
      </c>
      <c r="B107" s="1492">
        <v>450909</v>
      </c>
      <c r="C107" s="1493"/>
      <c r="D107" s="679">
        <v>472431</v>
      </c>
      <c r="E107" s="1470">
        <f>ROUND(B107*(1+'Løntabel gældende fra'!$D$7/100),2)</f>
        <v>522692.36</v>
      </c>
      <c r="F107" s="1470"/>
      <c r="G107" s="682">
        <f>ROUND(D107*(1+'Løntabel gældende fra'!$D$7/100),2)</f>
        <v>547640.6</v>
      </c>
    </row>
    <row r="108" spans="1:9" ht="26.25" customHeight="1" thickBot="1">
      <c r="A108" s="1562" t="s">
        <v>423</v>
      </c>
      <c r="B108" s="1562"/>
      <c r="C108" s="1562"/>
      <c r="D108" s="1562"/>
      <c r="E108" s="1562"/>
      <c r="F108" s="1562"/>
      <c r="G108" s="1562"/>
    </row>
    <row r="109" spans="1:9" ht="21.75" customHeight="1" thickBot="1">
      <c r="A109" s="1485" t="s">
        <v>355</v>
      </c>
      <c r="B109" s="1486"/>
      <c r="C109" s="1486"/>
      <c r="D109" s="1486"/>
      <c r="E109" s="1486"/>
      <c r="F109" s="1486"/>
      <c r="G109" s="1487"/>
    </row>
    <row r="110" spans="1:9" ht="18" customHeight="1">
      <c r="A110" s="1450" t="s">
        <v>259</v>
      </c>
      <c r="B110" s="1488" t="s">
        <v>131</v>
      </c>
      <c r="C110" s="1462" t="s">
        <v>340</v>
      </c>
      <c r="D110" s="1393" t="s">
        <v>278</v>
      </c>
      <c r="E110" s="1462" t="str">
        <f>F8</f>
        <v>Pensionsbidrag til AkedemikerPension</v>
      </c>
      <c r="F110" s="1462"/>
      <c r="G110" s="1599"/>
    </row>
    <row r="111" spans="1:9" ht="17.25" customHeight="1">
      <c r="A111" s="1451"/>
      <c r="B111" s="1489"/>
      <c r="C111" s="1463"/>
      <c r="D111" s="1394"/>
      <c r="E111" s="1463"/>
      <c r="F111" s="1463"/>
      <c r="G111" s="1596"/>
    </row>
    <row r="112" spans="1:9" ht="17.25" customHeight="1" thickBot="1">
      <c r="A112" s="1451"/>
      <c r="B112" s="686">
        <v>40999</v>
      </c>
      <c r="C112" s="678" t="str">
        <f>'Løntabel gældende fra'!$D$1</f>
        <v>01/10/23</v>
      </c>
      <c r="D112" s="678" t="str">
        <f>C112</f>
        <v>01/10/23</v>
      </c>
      <c r="E112" s="1597" t="s">
        <v>352</v>
      </c>
      <c r="F112" s="1597"/>
      <c r="G112" s="1598"/>
    </row>
    <row r="113" spans="1:9" ht="17.25" customHeight="1" thickBot="1">
      <c r="A113" s="1452"/>
      <c r="B113" s="685">
        <v>460000</v>
      </c>
      <c r="C113" s="675">
        <f>ROUND(B113*(1+'Løntabel gældende fra'!$D$7/100),2)</f>
        <v>533230.62</v>
      </c>
      <c r="D113" s="676">
        <f>ROUND(C113/12,2)</f>
        <v>44435.89</v>
      </c>
      <c r="E113" s="1395">
        <f>ROUND(D113*0.168,2)</f>
        <v>7465.23</v>
      </c>
      <c r="F113" s="1396"/>
      <c r="G113" s="1397"/>
    </row>
    <row r="114" spans="1:9" ht="19.5" customHeight="1" thickBot="1">
      <c r="A114" s="642"/>
      <c r="B114" s="631"/>
      <c r="C114" s="631"/>
      <c r="D114" s="631"/>
      <c r="E114" s="632"/>
      <c r="F114" s="632"/>
      <c r="G114" s="632"/>
    </row>
    <row r="115" spans="1:9" ht="20.25" customHeight="1">
      <c r="A115" s="1398" t="s">
        <v>354</v>
      </c>
      <c r="B115" s="1399"/>
      <c r="C115" s="1399"/>
      <c r="D115" s="1399"/>
      <c r="E115" s="1399"/>
      <c r="F115" s="1399"/>
      <c r="G115" s="1400"/>
    </row>
    <row r="116" spans="1:9" ht="20.25" customHeight="1" thickBot="1">
      <c r="A116" s="1382" t="s">
        <v>353</v>
      </c>
      <c r="B116" s="1383"/>
      <c r="C116" s="1383"/>
      <c r="D116" s="1383"/>
      <c r="E116" s="1383"/>
      <c r="F116" s="1383"/>
      <c r="G116" s="1384"/>
    </row>
    <row r="117" spans="1:9" ht="21" customHeight="1">
      <c r="A117" s="1385" t="s">
        <v>115</v>
      </c>
      <c r="B117" s="1387" t="s">
        <v>131</v>
      </c>
      <c r="C117" s="1389" t="s">
        <v>340</v>
      </c>
      <c r="D117" s="1391" t="s">
        <v>278</v>
      </c>
      <c r="E117" s="1462" t="str">
        <f>E110</f>
        <v>Pensionsbidrag til AkedemikerPension</v>
      </c>
      <c r="F117" s="1462"/>
      <c r="G117" s="1599"/>
    </row>
    <row r="118" spans="1:9" ht="19.5" customHeight="1">
      <c r="A118" s="1386"/>
      <c r="B118" s="1388"/>
      <c r="C118" s="1390"/>
      <c r="D118" s="1392"/>
      <c r="E118" s="1463"/>
      <c r="F118" s="1463"/>
      <c r="G118" s="1596"/>
    </row>
    <row r="119" spans="1:9" ht="13.5" customHeight="1" thickBot="1">
      <c r="A119" s="691"/>
      <c r="B119" s="677">
        <v>40999</v>
      </c>
      <c r="C119" s="678" t="str">
        <f>'Løntabel gældende fra'!$D$1</f>
        <v>01/10/23</v>
      </c>
      <c r="D119" s="678" t="str">
        <f>C119</f>
        <v>01/10/23</v>
      </c>
      <c r="E119" s="1592" t="s">
        <v>352</v>
      </c>
      <c r="F119" s="1592"/>
      <c r="G119" s="1593"/>
      <c r="H119" s="629"/>
    </row>
    <row r="120" spans="1:9">
      <c r="A120" s="689" t="s">
        <v>351</v>
      </c>
      <c r="B120" s="687">
        <v>131590</v>
      </c>
      <c r="C120" s="702">
        <f>ROUND(B120*(1+'Løntabel gældende fra'!$D$7/100),2)</f>
        <v>152538.73000000001</v>
      </c>
      <c r="D120" s="702">
        <f>ROUND(C120/12,2)</f>
        <v>12711.56</v>
      </c>
      <c r="E120" s="1584">
        <f>ROUND(D120*0.168,2)</f>
        <v>2135.54</v>
      </c>
      <c r="F120" s="1584"/>
      <c r="G120" s="1435"/>
      <c r="I120" s="629"/>
    </row>
    <row r="121" spans="1:9" ht="15" customHeight="1" thickBot="1">
      <c r="A121" s="690" t="s">
        <v>350</v>
      </c>
      <c r="B121" s="688">
        <v>150988</v>
      </c>
      <c r="C121" s="701">
        <f>ROUND(B121*(1+'Løntabel gældende fra'!$D$7/100),2)</f>
        <v>175024.84</v>
      </c>
      <c r="D121" s="702">
        <f>ROUND(C121/12,2)</f>
        <v>14585.4</v>
      </c>
      <c r="E121" s="1584">
        <f>ROUND(D121*0.168,2)</f>
        <v>2450.35</v>
      </c>
      <c r="F121" s="1584"/>
      <c r="G121" s="1435"/>
    </row>
    <row r="122" spans="1:9" customFormat="1" ht="15">
      <c r="A122" s="706" t="s">
        <v>401</v>
      </c>
      <c r="B122" s="627"/>
      <c r="C122" s="627"/>
      <c r="D122" s="627"/>
      <c r="E122" s="627"/>
      <c r="F122" s="627"/>
      <c r="G122" s="627"/>
    </row>
    <row r="123" spans="1:9" customFormat="1" ht="16" customHeight="1">
      <c r="A123" s="2"/>
      <c r="B123" s="2"/>
      <c r="C123" s="2"/>
      <c r="D123" s="2"/>
      <c r="E123" s="2"/>
      <c r="F123" s="2"/>
      <c r="G123" s="2"/>
    </row>
    <row r="124" spans="1:9" customFormat="1" ht="14" customHeight="1"/>
    <row r="125" spans="1:9" customFormat="1" ht="32" customHeight="1"/>
    <row r="126" spans="1:9" customFormat="1" ht="15" customHeight="1"/>
    <row r="127" spans="1:9" customFormat="1" ht="16" customHeight="1"/>
    <row r="128" spans="1:9" customFormat="1" ht="16" customHeight="1"/>
    <row r="129" spans="1:7" ht="15">
      <c r="A129"/>
      <c r="B129"/>
      <c r="C129"/>
      <c r="D129"/>
      <c r="E129"/>
      <c r="F129"/>
      <c r="G129"/>
    </row>
    <row r="130" spans="1:7" ht="15">
      <c r="A130"/>
      <c r="B130"/>
      <c r="C130"/>
      <c r="D130"/>
      <c r="E130"/>
      <c r="F130"/>
      <c r="G130"/>
    </row>
  </sheetData>
  <sheetProtection sheet="1" objects="1" scenarios="1"/>
  <mergeCells count="157">
    <mergeCell ref="E120:G120"/>
    <mergeCell ref="E121:G121"/>
    <mergeCell ref="A28:B28"/>
    <mergeCell ref="F26:G27"/>
    <mergeCell ref="F28:G28"/>
    <mergeCell ref="F10:G10"/>
    <mergeCell ref="F8:G9"/>
    <mergeCell ref="E75:G75"/>
    <mergeCell ref="E73:G74"/>
    <mergeCell ref="E97:G97"/>
    <mergeCell ref="E95:G96"/>
    <mergeCell ref="E112:G112"/>
    <mergeCell ref="E110:G111"/>
    <mergeCell ref="E117:G118"/>
    <mergeCell ref="E119:G119"/>
    <mergeCell ref="F11:G11"/>
    <mergeCell ref="F12:G12"/>
    <mergeCell ref="F13:G13"/>
    <mergeCell ref="F14:G14"/>
    <mergeCell ref="F15:G15"/>
    <mergeCell ref="F61:F62"/>
    <mergeCell ref="A76:B76"/>
    <mergeCell ref="C76:D76"/>
    <mergeCell ref="D61:D62"/>
    <mergeCell ref="A1:G1"/>
    <mergeCell ref="A6:G6"/>
    <mergeCell ref="A7:G7"/>
    <mergeCell ref="A60:G60"/>
    <mergeCell ref="A108:G108"/>
    <mergeCell ref="A49:G49"/>
    <mergeCell ref="A40:G40"/>
    <mergeCell ref="F29:G29"/>
    <mergeCell ref="F30:G30"/>
    <mergeCell ref="F31:G31"/>
    <mergeCell ref="F32:G32"/>
    <mergeCell ref="F33:G33"/>
    <mergeCell ref="F34:G34"/>
    <mergeCell ref="F35:G35"/>
    <mergeCell ref="A24:G24"/>
    <mergeCell ref="A25:G25"/>
    <mergeCell ref="E76:G76"/>
    <mergeCell ref="E98:G98"/>
    <mergeCell ref="G61:G62"/>
    <mergeCell ref="C61:C63"/>
    <mergeCell ref="A61:B63"/>
    <mergeCell ref="A75:B75"/>
    <mergeCell ref="C75:D75"/>
    <mergeCell ref="A41:D43"/>
    <mergeCell ref="C26:C27"/>
    <mergeCell ref="E22:F22"/>
    <mergeCell ref="A35:B35"/>
    <mergeCell ref="A33:B33"/>
    <mergeCell ref="A32:B32"/>
    <mergeCell ref="A31:B31"/>
    <mergeCell ref="A30:B30"/>
    <mergeCell ref="A29:B29"/>
    <mergeCell ref="A39:G39"/>
    <mergeCell ref="A38:G38"/>
    <mergeCell ref="E41:E42"/>
    <mergeCell ref="F41:F42"/>
    <mergeCell ref="G41:G42"/>
    <mergeCell ref="A45:D45"/>
    <mergeCell ref="A46:D46"/>
    <mergeCell ref="E61:E62"/>
    <mergeCell ref="A72:G72"/>
    <mergeCell ref="A73:B74"/>
    <mergeCell ref="C73:D74"/>
    <mergeCell ref="E50:E51"/>
    <mergeCell ref="F50:F51"/>
    <mergeCell ref="G50:G51"/>
    <mergeCell ref="A55:D55"/>
    <mergeCell ref="A56:D56"/>
    <mergeCell ref="A57:D57"/>
    <mergeCell ref="A47:D47"/>
    <mergeCell ref="A44:D44"/>
    <mergeCell ref="A68:B68"/>
    <mergeCell ref="A67:B67"/>
    <mergeCell ref="A66:B66"/>
    <mergeCell ref="B107:C107"/>
    <mergeCell ref="A99:G100"/>
    <mergeCell ref="E102:G102"/>
    <mergeCell ref="E103:G104"/>
    <mergeCell ref="E105:F105"/>
    <mergeCell ref="A95:A97"/>
    <mergeCell ref="A94:G94"/>
    <mergeCell ref="A93:G93"/>
    <mergeCell ref="A50:D52"/>
    <mergeCell ref="A53:D53"/>
    <mergeCell ref="A54:D54"/>
    <mergeCell ref="B106:C106"/>
    <mergeCell ref="A59:G59"/>
    <mergeCell ref="A101:G101"/>
    <mergeCell ref="C95:C96"/>
    <mergeCell ref="D95:D96"/>
    <mergeCell ref="A110:A113"/>
    <mergeCell ref="B95:B96"/>
    <mergeCell ref="C8:C9"/>
    <mergeCell ref="D8:D9"/>
    <mergeCell ref="E8:E9"/>
    <mergeCell ref="A65:B65"/>
    <mergeCell ref="E21:F21"/>
    <mergeCell ref="B22:C22"/>
    <mergeCell ref="A26:B27"/>
    <mergeCell ref="A64:B64"/>
    <mergeCell ref="C110:C111"/>
    <mergeCell ref="A86:G86"/>
    <mergeCell ref="A88:G88"/>
    <mergeCell ref="E106:F106"/>
    <mergeCell ref="E107:F107"/>
    <mergeCell ref="A102:A105"/>
    <mergeCell ref="B102:D102"/>
    <mergeCell ref="B103:D104"/>
    <mergeCell ref="A37:G37"/>
    <mergeCell ref="A34:B34"/>
    <mergeCell ref="A69:B69"/>
    <mergeCell ref="A109:G109"/>
    <mergeCell ref="B110:B111"/>
    <mergeCell ref="B105:C105"/>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B21:C21"/>
    <mergeCell ref="D26:D27"/>
    <mergeCell ref="E26:E27"/>
    <mergeCell ref="A48:D48"/>
    <mergeCell ref="A89:G90"/>
    <mergeCell ref="A92:G92"/>
    <mergeCell ref="A2:G2"/>
    <mergeCell ref="A116:G116"/>
    <mergeCell ref="A117:A118"/>
    <mergeCell ref="B117:B118"/>
    <mergeCell ref="C117:C118"/>
    <mergeCell ref="D117:D118"/>
    <mergeCell ref="D110:D111"/>
    <mergeCell ref="E113:G113"/>
    <mergeCell ref="A71:G71"/>
    <mergeCell ref="A115:G115"/>
    <mergeCell ref="A79:G79"/>
    <mergeCell ref="A80:G80"/>
    <mergeCell ref="A81:D82"/>
    <mergeCell ref="A83:D83"/>
    <mergeCell ref="A84:D84"/>
    <mergeCell ref="E81:G82"/>
    <mergeCell ref="E83:G83"/>
    <mergeCell ref="E84:G84"/>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77" max="16383" man="1"/>
    <brk id="84" max="16383" man="1"/>
    <brk id="10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6"/>
  <sheetViews>
    <sheetView view="pageBreakPreview" zoomScaleSheetLayoutView="100" workbookViewId="0">
      <selection activeCell="A30" sqref="A30:J30"/>
    </sheetView>
  </sheetViews>
  <sheetFormatPr baseColWidth="10" defaultColWidth="8.83203125" defaultRowHeight="14"/>
  <cols>
    <col min="1" max="1" width="10" style="228" customWidth="1"/>
    <col min="2" max="8" width="17" style="228" customWidth="1"/>
    <col min="9" max="16384" width="8.83203125" style="228"/>
  </cols>
  <sheetData>
    <row r="1" spans="1:8" ht="20">
      <c r="A1" s="1185" t="s">
        <v>19</v>
      </c>
      <c r="B1" s="1186"/>
      <c r="C1" s="1186"/>
      <c r="D1" s="1186"/>
      <c r="E1" s="1186"/>
      <c r="F1" s="1186"/>
      <c r="G1" s="1186"/>
      <c r="H1" s="1187"/>
    </row>
    <row r="2" spans="1:8" ht="20">
      <c r="A2" s="1196" t="s">
        <v>167</v>
      </c>
      <c r="B2" s="1197"/>
      <c r="C2" s="1197"/>
      <c r="D2" s="1197"/>
      <c r="E2" s="1197"/>
      <c r="F2" s="1197"/>
      <c r="G2" s="1197"/>
      <c r="H2" s="1198"/>
    </row>
    <row r="3" spans="1:8" ht="21" thickBot="1">
      <c r="A3" s="1662" t="str">
        <f>'Forside 1'!A6:I6</f>
        <v>Gældende fra 1. oktober 2023</v>
      </c>
      <c r="B3" s="1663"/>
      <c r="C3" s="1663"/>
      <c r="D3" s="1663"/>
      <c r="E3" s="1663"/>
      <c r="F3" s="1663"/>
      <c r="G3" s="1663"/>
      <c r="H3" s="1664"/>
    </row>
    <row r="4" spans="1:8" ht="18.75" customHeight="1" thickBot="1">
      <c r="A4" s="628"/>
      <c r="B4" s="628"/>
      <c r="C4" s="628"/>
      <c r="D4" s="628"/>
      <c r="E4" s="628"/>
      <c r="F4" s="628"/>
      <c r="G4" s="628"/>
      <c r="H4" s="628"/>
    </row>
    <row r="5" spans="1:8" ht="41.25" customHeight="1" thickBot="1">
      <c r="A5" s="1667" t="s">
        <v>513</v>
      </c>
      <c r="B5" s="1668"/>
      <c r="C5" s="1668"/>
      <c r="D5" s="1668"/>
      <c r="E5" s="1668"/>
      <c r="F5" s="1669"/>
      <c r="G5" s="1681" t="s">
        <v>93</v>
      </c>
      <c r="H5" s="1682"/>
    </row>
    <row r="6" spans="1:8" ht="26" customHeight="1" thickBot="1">
      <c r="A6" s="1678" t="s">
        <v>512</v>
      </c>
      <c r="B6" s="1679"/>
      <c r="C6" s="1679"/>
      <c r="D6" s="1679"/>
      <c r="E6" s="1679"/>
      <c r="F6" s="1679"/>
      <c r="G6" s="1679"/>
      <c r="H6" s="1680"/>
    </row>
    <row r="7" spans="1:8" ht="15">
      <c r="A7" s="705" t="s">
        <v>57</v>
      </c>
      <c r="B7" s="705" t="s">
        <v>75</v>
      </c>
      <c r="C7" s="705" t="s">
        <v>76</v>
      </c>
      <c r="D7" s="705" t="s">
        <v>77</v>
      </c>
      <c r="E7" s="705" t="s">
        <v>78</v>
      </c>
      <c r="F7" s="705" t="s">
        <v>79</v>
      </c>
      <c r="G7" s="705" t="s">
        <v>235</v>
      </c>
      <c r="H7" s="696">
        <v>0.14699999999999999</v>
      </c>
    </row>
    <row r="8" spans="1:8" ht="16">
      <c r="A8" s="562">
        <v>14</v>
      </c>
      <c r="B8" s="563">
        <f>+'Statens skalatrin'!D46</f>
        <v>21987.17</v>
      </c>
      <c r="C8" s="563">
        <f>+'Statens skalatrin'!F46</f>
        <v>22445.08</v>
      </c>
      <c r="D8" s="563">
        <f>+'Statens skalatrin'!H46</f>
        <v>22762</v>
      </c>
      <c r="E8" s="563">
        <f>+'Statens skalatrin'!J46</f>
        <v>23219.75</v>
      </c>
      <c r="F8" s="563">
        <f>+'Statens skalatrin'!L46</f>
        <v>23536.75</v>
      </c>
      <c r="G8" s="564">
        <f>+'Statens skalatrin'!O46</f>
        <v>20557.32</v>
      </c>
      <c r="H8" s="564">
        <f>ROUND(G8*$H$7,2)</f>
        <v>3021.93</v>
      </c>
    </row>
    <row r="9" spans="1:8" ht="16">
      <c r="A9" s="562">
        <v>15</v>
      </c>
      <c r="B9" s="563">
        <f>+'Statens skalatrin'!D49</f>
        <v>22377.25</v>
      </c>
      <c r="C9" s="563">
        <f>+'Statens skalatrin'!F49</f>
        <v>22846.5</v>
      </c>
      <c r="D9" s="563">
        <f>+'Statens skalatrin'!H49</f>
        <v>23171.42</v>
      </c>
      <c r="E9" s="563">
        <f>+'Statens skalatrin'!J49</f>
        <v>23640.83</v>
      </c>
      <c r="F9" s="563">
        <f>+'Statens skalatrin'!L49</f>
        <v>23965.83</v>
      </c>
      <c r="G9" s="564">
        <f>+'Statens skalatrin'!O49</f>
        <v>20922.7</v>
      </c>
      <c r="H9" s="564">
        <f t="shared" ref="H9:H33" si="0">ROUND(G9*$H$7,2)</f>
        <v>3075.64</v>
      </c>
    </row>
    <row r="10" spans="1:8" ht="16">
      <c r="A10" s="562">
        <v>16</v>
      </c>
      <c r="B10" s="563">
        <f>'Statens skalatrin'!D52</f>
        <v>22676.080000000002</v>
      </c>
      <c r="C10" s="563">
        <f>+'Statens skalatrin'!F52</f>
        <v>23157.42</v>
      </c>
      <c r="D10" s="563">
        <f>+'Statens skalatrin'!H52</f>
        <v>23490.67</v>
      </c>
      <c r="E10" s="563">
        <f>+'Statens skalatrin'!J52</f>
        <v>23971.83</v>
      </c>
      <c r="F10" s="563">
        <f>+'Statens skalatrin'!L52</f>
        <v>24305.08</v>
      </c>
      <c r="G10" s="564">
        <f>+'Statens skalatrin'!O52</f>
        <v>21298.36</v>
      </c>
      <c r="H10" s="564">
        <f t="shared" si="0"/>
        <v>3130.86</v>
      </c>
    </row>
    <row r="11" spans="1:8" ht="16">
      <c r="A11" s="562">
        <v>17</v>
      </c>
      <c r="B11" s="563">
        <f>'Statens skalatrin'!D55</f>
        <v>23087.83</v>
      </c>
      <c r="C11" s="563">
        <f>+'Statens skalatrin'!F55</f>
        <v>23581.33</v>
      </c>
      <c r="D11" s="563">
        <f>+'Statens skalatrin'!H55</f>
        <v>23923</v>
      </c>
      <c r="E11" s="563">
        <f>+'Statens skalatrin'!J55</f>
        <v>24416.42</v>
      </c>
      <c r="F11" s="563">
        <f>+'Statens skalatrin'!L55</f>
        <v>24757.919999999998</v>
      </c>
      <c r="G11" s="564">
        <f>+'Statens skalatrin'!O55</f>
        <v>21684.14</v>
      </c>
      <c r="H11" s="564">
        <f t="shared" si="0"/>
        <v>3187.57</v>
      </c>
    </row>
    <row r="12" spans="1:8" ht="16">
      <c r="A12" s="562">
        <v>18</v>
      </c>
      <c r="B12" s="563">
        <f>'Statens skalatrin'!D58</f>
        <v>23511.08</v>
      </c>
      <c r="C12" s="563">
        <f>+'Statens skalatrin'!F58</f>
        <v>24017.25</v>
      </c>
      <c r="D12" s="563">
        <f>+'Statens skalatrin'!H58</f>
        <v>24367.5</v>
      </c>
      <c r="E12" s="563">
        <f>+'Statens skalatrin'!J58</f>
        <v>24873.5</v>
      </c>
      <c r="F12" s="563">
        <f>+'Statens skalatrin'!L58</f>
        <v>25223.67</v>
      </c>
      <c r="G12" s="564">
        <f>+'Statens skalatrin'!O58</f>
        <v>22080.720000000001</v>
      </c>
      <c r="H12" s="564">
        <f t="shared" si="0"/>
        <v>3245.87</v>
      </c>
    </row>
    <row r="13" spans="1:8" ht="16">
      <c r="A13" s="562">
        <v>19</v>
      </c>
      <c r="B13" s="563">
        <f>'Statens skalatrin'!D61</f>
        <v>23827</v>
      </c>
      <c r="C13" s="563">
        <f>+'Statens skalatrin'!F61</f>
        <v>24345.919999999998</v>
      </c>
      <c r="D13" s="563">
        <f>+'Statens skalatrin'!H61</f>
        <v>24705</v>
      </c>
      <c r="E13" s="563">
        <f>+'Statens skalatrin'!J61</f>
        <v>25224</v>
      </c>
      <c r="F13" s="563">
        <f>+'Statens skalatrin'!L61</f>
        <v>25583.42</v>
      </c>
      <c r="G13" s="564">
        <f>+'Statens skalatrin'!O61</f>
        <v>22488.11</v>
      </c>
      <c r="H13" s="564">
        <f t="shared" si="0"/>
        <v>3305.75</v>
      </c>
    </row>
    <row r="14" spans="1:8" ht="16">
      <c r="A14" s="562">
        <v>20</v>
      </c>
      <c r="B14" s="563">
        <f>+'Statens skalatrin'!D64</f>
        <v>24155.08</v>
      </c>
      <c r="C14" s="563">
        <f>+'Statens skalatrin'!F64</f>
        <v>24687</v>
      </c>
      <c r="D14" s="563">
        <f>+'Statens skalatrin'!H64</f>
        <v>25055.5</v>
      </c>
      <c r="E14" s="563">
        <f>+'Statens skalatrin'!J64</f>
        <v>25587.5</v>
      </c>
      <c r="F14" s="563">
        <f>+'Statens skalatrin'!L64</f>
        <v>25955.75</v>
      </c>
      <c r="G14" s="564">
        <f>+'Statens skalatrin'!O64</f>
        <v>22906.66</v>
      </c>
      <c r="H14" s="564">
        <f t="shared" si="0"/>
        <v>3367.28</v>
      </c>
    </row>
    <row r="15" spans="1:8" ht="16">
      <c r="A15" s="562">
        <v>21</v>
      </c>
      <c r="B15" s="563">
        <f>+'Statens skalatrin'!D67</f>
        <v>24554.92</v>
      </c>
      <c r="C15" s="563">
        <f>+'Statens skalatrin'!F67</f>
        <v>25100.58</v>
      </c>
      <c r="D15" s="563">
        <f>+'Statens skalatrin'!H67</f>
        <v>25478.42</v>
      </c>
      <c r="E15" s="563">
        <f>+'Statens skalatrin'!J67</f>
        <v>26024.080000000002</v>
      </c>
      <c r="F15" s="563">
        <f>+'Statens skalatrin'!L67</f>
        <v>26401.83</v>
      </c>
      <c r="G15" s="564">
        <f>+'Statens skalatrin'!O67</f>
        <v>23336.89</v>
      </c>
      <c r="H15" s="564">
        <f t="shared" si="0"/>
        <v>3430.52</v>
      </c>
    </row>
    <row r="16" spans="1:8" ht="16">
      <c r="A16" s="562">
        <v>22</v>
      </c>
      <c r="B16" s="563">
        <f>+'Statens skalatrin'!D70</f>
        <v>24925.33</v>
      </c>
      <c r="C16" s="563">
        <f>+'Statens skalatrin'!F70</f>
        <v>25471</v>
      </c>
      <c r="D16" s="563">
        <f>+'Statens skalatrin'!H70</f>
        <v>25848.83</v>
      </c>
      <c r="E16" s="563">
        <f>+'Statens skalatrin'!J70</f>
        <v>26394.5</v>
      </c>
      <c r="F16" s="563">
        <f>+'Statens skalatrin'!L70</f>
        <v>26772.33</v>
      </c>
      <c r="G16" s="564">
        <f>+'Statens skalatrin'!O70</f>
        <v>23766.76</v>
      </c>
      <c r="H16" s="564">
        <f t="shared" si="0"/>
        <v>3493.71</v>
      </c>
    </row>
    <row r="17" spans="1:8" ht="16">
      <c r="A17" s="562">
        <v>23</v>
      </c>
      <c r="B17" s="563">
        <f>+'Statens skalatrin'!D73</f>
        <v>25322.33</v>
      </c>
      <c r="C17" s="563">
        <f>+'Statens skalatrin'!F73</f>
        <v>25852.92</v>
      </c>
      <c r="D17" s="563">
        <f>+'Statens skalatrin'!H73</f>
        <v>26220.42</v>
      </c>
      <c r="E17" s="563">
        <f>+'Statens skalatrin'!J73</f>
        <v>26751.17</v>
      </c>
      <c r="F17" s="563">
        <f>+'Statens skalatrin'!L73</f>
        <v>27118.42</v>
      </c>
      <c r="G17" s="564">
        <f>+'Statens skalatrin'!O73</f>
        <v>24195.59</v>
      </c>
      <c r="H17" s="564">
        <f t="shared" si="0"/>
        <v>3556.75</v>
      </c>
    </row>
    <row r="18" spans="1:8" ht="16">
      <c r="A18" s="562">
        <v>24</v>
      </c>
      <c r="B18" s="563">
        <f>+'Statens skalatrin'!D76</f>
        <v>25731.5</v>
      </c>
      <c r="C18" s="563">
        <f>+'Statens skalatrin'!F76</f>
        <v>26247.08</v>
      </c>
      <c r="D18" s="563">
        <f>+'Statens skalatrin'!H76</f>
        <v>26604.17</v>
      </c>
      <c r="E18" s="563">
        <f>+'Statens skalatrin'!J76</f>
        <v>27119.919999999998</v>
      </c>
      <c r="F18" s="563">
        <f>+'Statens skalatrin'!L76</f>
        <v>27476.92</v>
      </c>
      <c r="G18" s="564">
        <f>+'Statens skalatrin'!O76</f>
        <v>24636.6</v>
      </c>
      <c r="H18" s="564">
        <f t="shared" si="0"/>
        <v>3621.58</v>
      </c>
    </row>
    <row r="19" spans="1:8" ht="16">
      <c r="A19" s="562">
        <v>25</v>
      </c>
      <c r="B19" s="563">
        <f>+'Statens skalatrin'!D79</f>
        <v>26149.67</v>
      </c>
      <c r="C19" s="563">
        <f>+'Statens skalatrin'!F79</f>
        <v>26649.25</v>
      </c>
      <c r="D19" s="563">
        <f>+'Statens skalatrin'!H79</f>
        <v>26995.17</v>
      </c>
      <c r="E19" s="563">
        <f>+'Statens skalatrin'!J79</f>
        <v>27494.83</v>
      </c>
      <c r="F19" s="563">
        <f>+'Statens skalatrin'!L79</f>
        <v>27840.67</v>
      </c>
      <c r="G19" s="564">
        <f>+'Statens skalatrin'!O79</f>
        <v>25089.05</v>
      </c>
      <c r="H19" s="564">
        <f t="shared" si="0"/>
        <v>3688.09</v>
      </c>
    </row>
    <row r="20" spans="1:8" ht="16">
      <c r="A20" s="562">
        <v>26</v>
      </c>
      <c r="B20" s="563">
        <f>+'Statens skalatrin'!D82</f>
        <v>26577.58</v>
      </c>
      <c r="C20" s="563">
        <f>+'Statens skalatrin'!F82</f>
        <v>27059.83</v>
      </c>
      <c r="D20" s="563">
        <f>+'Statens skalatrin'!H82</f>
        <v>27393.75</v>
      </c>
      <c r="E20" s="563">
        <f>+'Statens skalatrin'!J82</f>
        <v>27876.080000000002</v>
      </c>
      <c r="F20" s="563">
        <f>+'Statens skalatrin'!L82</f>
        <v>28209.919999999998</v>
      </c>
      <c r="G20" s="564">
        <f>+'Statens skalatrin'!O82</f>
        <v>25553.4</v>
      </c>
      <c r="H20" s="564">
        <f t="shared" si="0"/>
        <v>3756.35</v>
      </c>
    </row>
    <row r="21" spans="1:8" ht="16">
      <c r="A21" s="562">
        <v>27</v>
      </c>
      <c r="B21" s="563">
        <f>+'Statens skalatrin'!D85</f>
        <v>27014.67</v>
      </c>
      <c r="C21" s="563">
        <f>+'Statens skalatrin'!F85</f>
        <v>27478.42</v>
      </c>
      <c r="D21" s="563">
        <f>+'Statens skalatrin'!H85</f>
        <v>27799.67</v>
      </c>
      <c r="E21" s="563">
        <f>+'Statens skalatrin'!J85</f>
        <v>28263.42</v>
      </c>
      <c r="F21" s="563">
        <f>+'Statens skalatrin'!L85</f>
        <v>28584.67</v>
      </c>
      <c r="G21" s="564">
        <f>+'Statens skalatrin'!O85</f>
        <v>26029.759999999998</v>
      </c>
      <c r="H21" s="564">
        <f t="shared" si="0"/>
        <v>3826.37</v>
      </c>
    </row>
    <row r="22" spans="1:8" ht="16">
      <c r="A22" s="562">
        <v>28</v>
      </c>
      <c r="B22" s="563">
        <f>+'Statens skalatrin'!D88</f>
        <v>27461.67</v>
      </c>
      <c r="C22" s="563">
        <f>+'Statens skalatrin'!F88</f>
        <v>27905.83</v>
      </c>
      <c r="D22" s="563">
        <f>+'Statens skalatrin'!H88</f>
        <v>28213.33</v>
      </c>
      <c r="E22" s="563">
        <f>+'Statens skalatrin'!J88</f>
        <v>28657.42</v>
      </c>
      <c r="F22" s="563">
        <f>+'Statens skalatrin'!L88</f>
        <v>28964.92</v>
      </c>
      <c r="G22" s="564">
        <f>+'Statens skalatrin'!O88</f>
        <v>26518.78</v>
      </c>
      <c r="H22" s="564">
        <f t="shared" si="0"/>
        <v>3898.26</v>
      </c>
    </row>
    <row r="23" spans="1:8" ht="16">
      <c r="A23" s="562">
        <v>29</v>
      </c>
      <c r="B23" s="563">
        <f>+'Statens skalatrin'!D91</f>
        <v>27918.67</v>
      </c>
      <c r="C23" s="563">
        <f>+'Statens skalatrin'!F91</f>
        <v>28341.75</v>
      </c>
      <c r="D23" s="563">
        <f>+'Statens skalatrin'!H91</f>
        <v>28634.75</v>
      </c>
      <c r="E23" s="563">
        <f>+'Statens skalatrin'!J91</f>
        <v>29057.919999999998</v>
      </c>
      <c r="F23" s="563">
        <f>+'Statens skalatrin'!L91</f>
        <v>29350.75</v>
      </c>
      <c r="G23" s="564">
        <f>+'Statens skalatrin'!O91</f>
        <v>27020.400000000001</v>
      </c>
      <c r="H23" s="564">
        <f t="shared" si="0"/>
        <v>3972</v>
      </c>
    </row>
    <row r="24" spans="1:8" ht="16">
      <c r="A24" s="562">
        <v>30</v>
      </c>
      <c r="B24" s="563">
        <f>+'Statens skalatrin'!D94</f>
        <v>28386.17</v>
      </c>
      <c r="C24" s="563">
        <f>+'Statens skalatrin'!F94</f>
        <v>28786.83</v>
      </c>
      <c r="D24" s="563">
        <f>+'Statens skalatrin'!H94</f>
        <v>29064.17</v>
      </c>
      <c r="E24" s="563">
        <f>+'Statens skalatrin'!J94</f>
        <v>29464.67</v>
      </c>
      <c r="F24" s="563">
        <f>+'Statens skalatrin'!L94</f>
        <v>29742.080000000002</v>
      </c>
      <c r="G24" s="564">
        <f>+'Statens skalatrin'!O94</f>
        <v>27535.25</v>
      </c>
      <c r="H24" s="564">
        <f t="shared" si="0"/>
        <v>4047.68</v>
      </c>
    </row>
    <row r="25" spans="1:8" ht="16">
      <c r="A25" s="562">
        <v>31</v>
      </c>
      <c r="B25" s="563">
        <f>+'Statens skalatrin'!D97</f>
        <v>28863.5</v>
      </c>
      <c r="C25" s="563">
        <f>+'Statens skalatrin'!F97</f>
        <v>29240.33</v>
      </c>
      <c r="D25" s="563">
        <f>+'Statens skalatrin'!H97</f>
        <v>29501.33</v>
      </c>
      <c r="E25" s="563">
        <f>+'Statens skalatrin'!J97</f>
        <v>29878.17</v>
      </c>
      <c r="F25" s="563">
        <f>+'Statens skalatrin'!L97</f>
        <v>30139.08</v>
      </c>
      <c r="G25" s="564">
        <f>+'Statens skalatrin'!O97</f>
        <v>28063.45</v>
      </c>
      <c r="H25" s="564">
        <f t="shared" si="0"/>
        <v>4125.33</v>
      </c>
    </row>
    <row r="26" spans="1:8" ht="16">
      <c r="A26" s="562">
        <v>32</v>
      </c>
      <c r="B26" s="563">
        <f>+'Statens skalatrin'!D100</f>
        <v>29352</v>
      </c>
      <c r="C26" s="563">
        <f>+'Statens skalatrin'!F100</f>
        <v>29703.42</v>
      </c>
      <c r="D26" s="563">
        <f>+'Statens skalatrin'!H100</f>
        <v>29946.83</v>
      </c>
      <c r="E26" s="563">
        <f>+'Statens skalatrin'!J100</f>
        <v>30298.42</v>
      </c>
      <c r="F26" s="563">
        <f>+'Statens skalatrin'!L100</f>
        <v>30541.67</v>
      </c>
      <c r="G26" s="564">
        <f>+'Statens skalatrin'!O100</f>
        <v>28605.62</v>
      </c>
      <c r="H26" s="564">
        <f t="shared" si="0"/>
        <v>4205.03</v>
      </c>
    </row>
    <row r="27" spans="1:8" ht="16">
      <c r="A27" s="562">
        <v>33</v>
      </c>
      <c r="B27" s="563">
        <f>+'Statens skalatrin'!D103</f>
        <v>29850.83</v>
      </c>
      <c r="C27" s="563">
        <f>+'Statens skalatrin'!F103</f>
        <v>30175.33</v>
      </c>
      <c r="D27" s="563">
        <f>+'Statens skalatrin'!H103</f>
        <v>30400.25</v>
      </c>
      <c r="E27" s="563">
        <f>+'Statens skalatrin'!J103</f>
        <v>30724.83</v>
      </c>
      <c r="F27" s="563">
        <f>+'Statens skalatrin'!L103</f>
        <v>30949.58</v>
      </c>
      <c r="G27" s="564">
        <f>+'Statens skalatrin'!O103</f>
        <v>29161.71</v>
      </c>
      <c r="H27" s="564">
        <f t="shared" si="0"/>
        <v>4286.7700000000004</v>
      </c>
    </row>
    <row r="28" spans="1:8" ht="16">
      <c r="A28" s="562">
        <v>34</v>
      </c>
      <c r="B28" s="563">
        <f>+'Statens skalatrin'!D106</f>
        <v>30361.08</v>
      </c>
      <c r="C28" s="563">
        <f>+'Statens skalatrin'!F106</f>
        <v>30657.17</v>
      </c>
      <c r="D28" s="563">
        <f>+'Statens skalatrin'!H106</f>
        <v>30862.17</v>
      </c>
      <c r="E28" s="563">
        <f>+'Statens skalatrin'!J106</f>
        <v>31158.080000000002</v>
      </c>
      <c r="F28" s="563">
        <f>+'Statens skalatrin'!L106</f>
        <v>31363</v>
      </c>
      <c r="G28" s="564">
        <f>+'Statens skalatrin'!O106</f>
        <v>29732.5</v>
      </c>
      <c r="H28" s="564">
        <f t="shared" si="0"/>
        <v>4370.68</v>
      </c>
    </row>
    <row r="29" spans="1:8" ht="16">
      <c r="A29" s="562">
        <v>35</v>
      </c>
      <c r="B29" s="563">
        <f>+'Statens skalatrin'!D109</f>
        <v>30882.67</v>
      </c>
      <c r="C29" s="563">
        <f>+'Statens skalatrin'!F109</f>
        <v>31148.58</v>
      </c>
      <c r="D29" s="563">
        <f>+'Statens skalatrin'!H109</f>
        <v>31332.5</v>
      </c>
      <c r="E29" s="563">
        <f>+'Statens skalatrin'!J109</f>
        <v>31598.42</v>
      </c>
      <c r="F29" s="563">
        <f>+'Statens skalatrin'!L109</f>
        <v>31782.42</v>
      </c>
      <c r="G29" s="564">
        <f>+'Statens skalatrin'!O109</f>
        <v>30318.27</v>
      </c>
      <c r="H29" s="564">
        <f t="shared" si="0"/>
        <v>4456.79</v>
      </c>
    </row>
    <row r="30" spans="1:8" ht="16">
      <c r="A30" s="562">
        <v>36</v>
      </c>
      <c r="B30" s="563">
        <f>'Statens skalatrin'!D112</f>
        <v>31415.58</v>
      </c>
      <c r="C30" s="563">
        <f>+'Statens skalatrin'!F112</f>
        <v>31649.33</v>
      </c>
      <c r="D30" s="563">
        <f>+'Statens skalatrin'!H112</f>
        <v>31811.25</v>
      </c>
      <c r="E30" s="563">
        <f>+'Statens skalatrin'!J112</f>
        <v>32045.17</v>
      </c>
      <c r="F30" s="563">
        <f>+'Statens skalatrin'!L112</f>
        <v>32206.92</v>
      </c>
      <c r="G30" s="564">
        <f>+'Statens skalatrin'!O112</f>
        <v>30919.13</v>
      </c>
      <c r="H30" s="564">
        <f t="shared" si="0"/>
        <v>4545.1099999999997</v>
      </c>
    </row>
    <row r="31" spans="1:8" ht="16">
      <c r="A31" s="562">
        <v>37</v>
      </c>
      <c r="B31" s="563">
        <f>+'Statens skalatrin'!D115</f>
        <v>31960.33</v>
      </c>
      <c r="C31" s="563">
        <f>+'Statens skalatrin'!F115</f>
        <v>32160.25</v>
      </c>
      <c r="D31" s="563">
        <f>+'Statens skalatrin'!H115</f>
        <v>32298.58</v>
      </c>
      <c r="E31" s="563">
        <f>+'Statens skalatrin'!J115</f>
        <v>32498.58</v>
      </c>
      <c r="F31" s="563">
        <f>+'Statens skalatrin'!L115</f>
        <v>32637.08</v>
      </c>
      <c r="G31" s="564">
        <f>+'Statens skalatrin'!O115</f>
        <v>31535.7</v>
      </c>
      <c r="H31" s="564">
        <f t="shared" si="0"/>
        <v>4635.75</v>
      </c>
    </row>
    <row r="32" spans="1:8" ht="16">
      <c r="A32" s="958">
        <v>38</v>
      </c>
      <c r="B32" s="564">
        <f>+'Statens skalatrin'!D118</f>
        <v>32535.58</v>
      </c>
      <c r="C32" s="564">
        <f>+'Statens skalatrin'!F118</f>
        <v>32702.92</v>
      </c>
      <c r="D32" s="564">
        <f>+'Statens skalatrin'!H118</f>
        <v>32818.67</v>
      </c>
      <c r="E32" s="564">
        <f>+'Statens skalatrin'!J118</f>
        <v>32986</v>
      </c>
      <c r="F32" s="564">
        <f>+'Statens skalatrin'!L118</f>
        <v>33102</v>
      </c>
      <c r="G32" s="564">
        <f>+'Statens skalatrin'!O118</f>
        <v>32180.17</v>
      </c>
      <c r="H32" s="564">
        <f t="shared" si="0"/>
        <v>4730.4799999999996</v>
      </c>
    </row>
    <row r="33" spans="1:8" ht="17" thickBot="1">
      <c r="A33" s="959">
        <v>39</v>
      </c>
      <c r="B33" s="960">
        <f>'Statens skalatrin'!D121</f>
        <v>33116.42</v>
      </c>
      <c r="C33" s="960">
        <f>'Statens skalatrin'!F121</f>
        <v>33245.42</v>
      </c>
      <c r="D33" s="960">
        <f>'Statens skalatrin'!H121</f>
        <v>33334.67</v>
      </c>
      <c r="E33" s="960">
        <f>'Statens skalatrin'!J121</f>
        <v>33463.42</v>
      </c>
      <c r="F33" s="960">
        <f>'Statens skalatrin'!L121</f>
        <v>33552.67</v>
      </c>
      <c r="G33" s="960">
        <f>'Statens skalatrin'!O121</f>
        <v>32842.89</v>
      </c>
      <c r="H33" s="960">
        <f t="shared" si="0"/>
        <v>4827.8999999999996</v>
      </c>
    </row>
    <row r="34" spans="1:8" ht="21" thickBot="1">
      <c r="A34" s="1670" t="s">
        <v>514</v>
      </c>
      <c r="B34" s="1671"/>
      <c r="C34" s="1671"/>
      <c r="D34" s="1671"/>
      <c r="E34" s="1671"/>
      <c r="F34" s="1672"/>
      <c r="G34" s="1665" t="s">
        <v>417</v>
      </c>
      <c r="H34" s="1666"/>
    </row>
    <row r="35" spans="1:8" ht="26" customHeight="1" thickBot="1">
      <c r="A35" s="1673" t="s">
        <v>512</v>
      </c>
      <c r="B35" s="1674"/>
      <c r="C35" s="1674"/>
      <c r="D35" s="1674"/>
      <c r="E35" s="1674"/>
      <c r="F35" s="1674"/>
      <c r="G35" s="1674"/>
      <c r="H35" s="1675"/>
    </row>
    <row r="36" spans="1:8" ht="26" customHeight="1" thickBot="1">
      <c r="A36" s="514" t="s">
        <v>57</v>
      </c>
      <c r="B36" s="514" t="s">
        <v>75</v>
      </c>
      <c r="C36" s="514" t="s">
        <v>76</v>
      </c>
      <c r="D36" s="514" t="s">
        <v>77</v>
      </c>
      <c r="E36" s="514" t="s">
        <v>78</v>
      </c>
      <c r="F36" s="514" t="s">
        <v>79</v>
      </c>
      <c r="G36" s="514" t="s">
        <v>235</v>
      </c>
      <c r="H36" s="704">
        <v>0.16200000000000001</v>
      </c>
    </row>
    <row r="37" spans="1:8" ht="16.5" customHeight="1">
      <c r="A37" s="626">
        <v>40</v>
      </c>
      <c r="B37" s="565">
        <f>'Statens skalatrin'!D124</f>
        <v>33710</v>
      </c>
      <c r="C37" s="565">
        <f>+'Statens skalatrin'!F124</f>
        <v>33798.17</v>
      </c>
      <c r="D37" s="565">
        <f>+'Statens skalatrin'!H124</f>
        <v>33859.17</v>
      </c>
      <c r="E37" s="565">
        <f>+'Statens skalatrin'!J124</f>
        <v>33947.25</v>
      </c>
      <c r="F37" s="565">
        <f>+'Statens skalatrin'!L124</f>
        <v>34008.33</v>
      </c>
      <c r="G37" s="565">
        <f>+'Statens skalatrin'!O124</f>
        <v>33522.769999999997</v>
      </c>
      <c r="H37" s="566">
        <f>ROUND(G37*$H$36,2)</f>
        <v>5430.69</v>
      </c>
    </row>
    <row r="38" spans="1:8" ht="16">
      <c r="A38" s="562">
        <v>42</v>
      </c>
      <c r="B38" s="563">
        <f>'Statens skalatrin'!D130</f>
        <v>34936.25</v>
      </c>
      <c r="C38" s="563">
        <f>+'Statens skalatrin'!F130</f>
        <v>34936.25</v>
      </c>
      <c r="D38" s="563">
        <f>+'Statens skalatrin'!H130</f>
        <v>34936.25</v>
      </c>
      <c r="E38" s="563">
        <f>+'Statens skalatrin'!J130</f>
        <v>34936.25</v>
      </c>
      <c r="F38" s="563">
        <f>+'Statens skalatrin'!L130</f>
        <v>34936.25</v>
      </c>
      <c r="G38" s="563">
        <f>+'Statens skalatrin'!O130</f>
        <v>34936.19</v>
      </c>
      <c r="H38" s="566">
        <f t="shared" ref="H38:H40" si="1">ROUND(G38*$H$36,2)</f>
        <v>5659.66</v>
      </c>
    </row>
    <row r="39" spans="1:8" ht="16">
      <c r="A39" s="562">
        <v>44</v>
      </c>
      <c r="B39" s="563">
        <f>'Statens skalatrin'!D136</f>
        <v>36508.58</v>
      </c>
      <c r="C39" s="563">
        <f>+'Statens skalatrin'!F136</f>
        <v>36508.58</v>
      </c>
      <c r="D39" s="563">
        <f>+'Statens skalatrin'!H136</f>
        <v>36508.58</v>
      </c>
      <c r="E39" s="563">
        <f>+'Statens skalatrin'!J136</f>
        <v>36508.58</v>
      </c>
      <c r="F39" s="563">
        <f>+'Statens skalatrin'!L136</f>
        <v>36508.58</v>
      </c>
      <c r="G39" s="563">
        <f>+'Statens skalatrin'!O136</f>
        <v>36508.65</v>
      </c>
      <c r="H39" s="566">
        <f t="shared" si="1"/>
        <v>5914.4</v>
      </c>
    </row>
    <row r="40" spans="1:8" ht="17" thickBot="1">
      <c r="A40" s="567">
        <v>48</v>
      </c>
      <c r="B40" s="703">
        <f>'Statens skalatrin'!D148</f>
        <v>42603.08</v>
      </c>
      <c r="C40" s="703">
        <f>+'Statens skalatrin'!F148</f>
        <v>42603.08</v>
      </c>
      <c r="D40" s="703">
        <f>+'Statens skalatrin'!H148</f>
        <v>42603.08</v>
      </c>
      <c r="E40" s="703">
        <f>+'Statens skalatrin'!J148</f>
        <v>42603.08</v>
      </c>
      <c r="F40" s="703">
        <f>+'Statens skalatrin'!L148</f>
        <v>42603.08</v>
      </c>
      <c r="G40" s="703">
        <f>+'Statens skalatrin'!O148</f>
        <v>42602.98</v>
      </c>
      <c r="H40" s="566">
        <f t="shared" si="1"/>
        <v>6901.68</v>
      </c>
    </row>
    <row r="41" spans="1:8" ht="15" customHeight="1">
      <c r="A41" s="1696"/>
      <c r="B41" s="1696"/>
      <c r="C41" s="1696"/>
      <c r="D41" s="1696"/>
      <c r="E41" s="1696"/>
      <c r="F41" s="1696"/>
      <c r="G41" s="1696"/>
      <c r="H41" s="1696"/>
    </row>
    <row r="42" spans="1:8" ht="15" thickBot="1">
      <c r="A42" s="1697"/>
      <c r="B42" s="1697"/>
      <c r="C42" s="1697"/>
      <c r="D42" s="1697"/>
      <c r="E42" s="1697"/>
      <c r="F42" s="1697"/>
      <c r="G42" s="1697"/>
      <c r="H42" s="1697"/>
    </row>
    <row r="43" spans="1:8" ht="20">
      <c r="A43" s="1090" t="s">
        <v>507</v>
      </c>
      <c r="B43" s="1091"/>
      <c r="C43" s="1091"/>
      <c r="D43" s="1091"/>
      <c r="E43" s="1091"/>
      <c r="F43" s="1091"/>
      <c r="G43" s="1091"/>
      <c r="H43" s="1092"/>
    </row>
    <row r="44" spans="1:8" ht="26" customHeight="1" thickBot="1">
      <c r="A44" s="1683" t="s">
        <v>316</v>
      </c>
      <c r="B44" s="1684"/>
      <c r="C44" s="1684"/>
      <c r="D44" s="1684"/>
      <c r="E44" s="1684"/>
      <c r="F44" s="1684"/>
      <c r="G44" s="1684"/>
      <c r="H44" s="1685"/>
    </row>
    <row r="45" spans="1:8" ht="26" customHeight="1">
      <c r="A45" s="1622" t="s">
        <v>508</v>
      </c>
      <c r="B45" s="1623"/>
      <c r="C45" s="1624"/>
      <c r="D45" s="1641" t="s">
        <v>131</v>
      </c>
      <c r="E45" s="1642"/>
      <c r="F45" s="1641" t="s">
        <v>340</v>
      </c>
      <c r="G45" s="1642"/>
      <c r="H45" s="656" t="s">
        <v>278</v>
      </c>
    </row>
    <row r="46" spans="1:8" ht="15.75" customHeight="1" thickBot="1">
      <c r="A46" s="1625"/>
      <c r="B46" s="1626"/>
      <c r="C46" s="1627"/>
      <c r="D46" s="1643">
        <v>40999</v>
      </c>
      <c r="E46" s="1644"/>
      <c r="F46" s="1643" t="str">
        <f>'Løntabel gældende fra'!D1</f>
        <v>01/10/23</v>
      </c>
      <c r="G46" s="1644"/>
      <c r="H46" s="551" t="str">
        <f>'Løntabel gældende fra'!$D$1</f>
        <v>01/10/23</v>
      </c>
    </row>
    <row r="47" spans="1:8" ht="15" customHeight="1" thickBot="1">
      <c r="A47" s="1628"/>
      <c r="B47" s="1629"/>
      <c r="C47" s="1630"/>
      <c r="D47" s="1648">
        <v>4500</v>
      </c>
      <c r="E47" s="1649"/>
      <c r="F47" s="1650">
        <f>ROUND(+D47*(1+'Løntabel gældende fra'!$D$7/100),2)</f>
        <v>5216.3900000000003</v>
      </c>
      <c r="G47" s="1651">
        <f>+E47*(1+'Løntabel gældende fra'!$D$7/100)</f>
        <v>0</v>
      </c>
      <c r="H47" s="657">
        <f>ROUND(F47/12,2)</f>
        <v>434.7</v>
      </c>
    </row>
    <row r="48" spans="1:8" ht="15" customHeight="1" thickBot="1">
      <c r="A48" s="1617"/>
      <c r="B48" s="1618"/>
      <c r="C48" s="1618"/>
      <c r="D48" s="1618"/>
      <c r="E48" s="1618"/>
      <c r="F48" s="1618"/>
      <c r="G48" s="1618"/>
      <c r="H48" s="1619"/>
    </row>
    <row r="49" spans="1:8" ht="18">
      <c r="A49" s="1079" t="s">
        <v>510</v>
      </c>
      <c r="B49" s="1080"/>
      <c r="C49" s="1080"/>
      <c r="D49" s="1080"/>
      <c r="E49" s="1080"/>
      <c r="F49" s="1080"/>
      <c r="G49" s="1080"/>
      <c r="H49" s="1081"/>
    </row>
    <row r="50" spans="1:8" ht="26" customHeight="1" thickBot="1">
      <c r="A50" s="1170" t="s">
        <v>316</v>
      </c>
      <c r="B50" s="1171"/>
      <c r="C50" s="1171"/>
      <c r="D50" s="1171"/>
      <c r="E50" s="1171"/>
      <c r="F50" s="1171"/>
      <c r="G50" s="1171"/>
      <c r="H50" s="1172"/>
    </row>
    <row r="51" spans="1:8" ht="26" customHeight="1">
      <c r="A51" s="1622" t="s">
        <v>509</v>
      </c>
      <c r="B51" s="1623"/>
      <c r="C51" s="1624"/>
      <c r="D51" s="1631" t="s">
        <v>131</v>
      </c>
      <c r="E51" s="1632"/>
      <c r="F51" s="1631" t="s">
        <v>340</v>
      </c>
      <c r="G51" s="1632"/>
      <c r="H51" s="656" t="s">
        <v>278</v>
      </c>
    </row>
    <row r="52" spans="1:8" ht="15.75" customHeight="1" thickBot="1">
      <c r="A52" s="1625"/>
      <c r="B52" s="1626"/>
      <c r="C52" s="1627"/>
      <c r="D52" s="1633">
        <v>40999</v>
      </c>
      <c r="E52" s="1634"/>
      <c r="F52" s="1635" t="str">
        <f>'Løntabel gældende fra'!D1</f>
        <v>01/10/23</v>
      </c>
      <c r="G52" s="1634"/>
      <c r="H52" s="551" t="str">
        <f>'Løntabel gældende fra'!$D$1</f>
        <v>01/10/23</v>
      </c>
    </row>
    <row r="53" spans="1:8" ht="15" customHeight="1" thickBot="1">
      <c r="A53" s="1628"/>
      <c r="B53" s="1629"/>
      <c r="C53" s="1630"/>
      <c r="D53" s="1620">
        <v>2000</v>
      </c>
      <c r="E53" s="1621"/>
      <c r="F53" s="1620">
        <f>ROUND(+D53*(1+'Løntabel gældende fra'!$D$7/100),2)</f>
        <v>2318.39</v>
      </c>
      <c r="G53" s="1621"/>
      <c r="H53" s="657">
        <f>ROUND(F53/12,2)</f>
        <v>193.2</v>
      </c>
    </row>
    <row r="54" spans="1:8" ht="31.5" customHeight="1" thickBot="1">
      <c r="A54" s="1057"/>
      <c r="B54" s="1057"/>
      <c r="C54" s="1057"/>
      <c r="D54" s="1057"/>
      <c r="E54" s="1057"/>
      <c r="F54" s="1057"/>
      <c r="G54" s="1057"/>
      <c r="H54" s="1057"/>
    </row>
    <row r="55" spans="1:8" ht="18">
      <c r="A55" s="1079" t="s">
        <v>227</v>
      </c>
      <c r="B55" s="1080"/>
      <c r="C55" s="1080"/>
      <c r="D55" s="1080"/>
      <c r="E55" s="1080"/>
      <c r="F55" s="1080"/>
      <c r="G55" s="1080"/>
      <c r="H55" s="1081"/>
    </row>
    <row r="56" spans="1:8" ht="20" customHeight="1" thickBot="1">
      <c r="A56" s="1170" t="s">
        <v>348</v>
      </c>
      <c r="B56" s="1171"/>
      <c r="C56" s="1171"/>
      <c r="D56" s="1171"/>
      <c r="E56" s="1171"/>
      <c r="F56" s="1171"/>
      <c r="G56" s="1171"/>
      <c r="H56" s="1172"/>
    </row>
    <row r="57" spans="1:8" ht="34.5" customHeight="1">
      <c r="A57" s="1622" t="s">
        <v>511</v>
      </c>
      <c r="B57" s="1623"/>
      <c r="C57" s="1623"/>
      <c r="D57" s="1623"/>
      <c r="E57" s="1623"/>
      <c r="F57" s="1624"/>
      <c r="G57" s="592" t="s">
        <v>101</v>
      </c>
      <c r="H57" s="644" t="s">
        <v>278</v>
      </c>
    </row>
    <row r="58" spans="1:8" ht="21" customHeight="1" thickBot="1">
      <c r="A58" s="1628"/>
      <c r="B58" s="1629"/>
      <c r="C58" s="1629"/>
      <c r="D58" s="1629"/>
      <c r="E58" s="1629"/>
      <c r="F58" s="1630"/>
      <c r="G58" s="551">
        <v>40999</v>
      </c>
      <c r="H58" s="568" t="str">
        <f>'Løntabel gældende fra'!$D$1</f>
        <v>01/10/23</v>
      </c>
    </row>
    <row r="59" spans="1:8" ht="21" customHeight="1">
      <c r="A59" s="1610" t="s">
        <v>321</v>
      </c>
      <c r="B59" s="1611"/>
      <c r="C59" s="1611"/>
      <c r="D59" s="1611"/>
      <c r="E59" s="1611"/>
      <c r="F59" s="1688"/>
      <c r="G59" s="547">
        <v>540</v>
      </c>
      <c r="H59" s="569">
        <f>ROUND(G59+G59*'Løntabel gældende fra'!$D$7%,2)</f>
        <v>625.97</v>
      </c>
    </row>
    <row r="60" spans="1:8" ht="21" customHeight="1">
      <c r="A60" s="1607" t="s">
        <v>522</v>
      </c>
      <c r="B60" s="1608"/>
      <c r="C60" s="1609"/>
      <c r="D60" s="1615" t="s">
        <v>520</v>
      </c>
      <c r="E60" s="1615"/>
      <c r="F60" s="1616"/>
      <c r="G60" s="954">
        <v>540</v>
      </c>
      <c r="H60" s="569">
        <f>ROUND(G60+G60*'Løntabel gældende fra'!$D$7%,2)</f>
        <v>625.97</v>
      </c>
    </row>
    <row r="61" spans="1:8" ht="39" customHeight="1">
      <c r="A61" s="1610"/>
      <c r="B61" s="1611"/>
      <c r="C61" s="1612"/>
      <c r="D61" s="1613" t="s">
        <v>521</v>
      </c>
      <c r="E61" s="1613"/>
      <c r="F61" s="1614"/>
      <c r="G61" s="550">
        <v>270</v>
      </c>
      <c r="H61" s="569">
        <f>ROUND(G61+G61*'Løntabel gældende fra'!$D$7%,2)</f>
        <v>312.98</v>
      </c>
    </row>
    <row r="62" spans="1:8" ht="20" customHeight="1" thickBot="1">
      <c r="A62" s="1689" t="s">
        <v>322</v>
      </c>
      <c r="B62" s="1690"/>
      <c r="C62" s="1690"/>
      <c r="D62" s="1690"/>
      <c r="E62" s="1690"/>
      <c r="F62" s="1691"/>
      <c r="G62" s="549">
        <v>666.67</v>
      </c>
      <c r="H62" s="570">
        <f>ROUND(G62+G62*'Løntabel gældende fra'!$D$7%,2)</f>
        <v>772.8</v>
      </c>
    </row>
    <row r="63" spans="1:8" ht="20" customHeight="1" thickBot="1">
      <c r="A63" s="261"/>
      <c r="B63" s="261"/>
      <c r="C63" s="261"/>
      <c r="D63" s="261"/>
      <c r="E63" s="261"/>
      <c r="F63" s="249"/>
      <c r="G63" s="249"/>
      <c r="H63" s="648"/>
    </row>
    <row r="64" spans="1:8" ht="27" customHeight="1">
      <c r="A64" s="1079" t="s">
        <v>314</v>
      </c>
      <c r="B64" s="1080"/>
      <c r="C64" s="1080"/>
      <c r="D64" s="1080"/>
      <c r="E64" s="1080"/>
      <c r="F64" s="1080"/>
      <c r="G64" s="1080"/>
      <c r="H64" s="1081"/>
    </row>
    <row r="65" spans="1:8" ht="20" customHeight="1" thickBot="1">
      <c r="A65" s="1170" t="s">
        <v>312</v>
      </c>
      <c r="B65" s="1171"/>
      <c r="C65" s="1171"/>
      <c r="D65" s="1171"/>
      <c r="E65" s="1171"/>
      <c r="F65" s="1171"/>
      <c r="G65" s="1171"/>
      <c r="H65" s="1172"/>
    </row>
    <row r="66" spans="1:8" ht="20" customHeight="1">
      <c r="A66" s="653"/>
      <c r="B66" s="654"/>
      <c r="C66" s="654"/>
      <c r="D66" s="654"/>
      <c r="E66" s="654"/>
      <c r="F66" s="654"/>
      <c r="G66" s="656" t="s">
        <v>98</v>
      </c>
      <c r="H66" s="655" t="s">
        <v>103</v>
      </c>
    </row>
    <row r="67" spans="1:8" ht="15" customHeight="1" thickBot="1">
      <c r="A67" s="651"/>
      <c r="B67" s="652"/>
      <c r="C67" s="652"/>
      <c r="D67" s="652"/>
      <c r="E67" s="652"/>
      <c r="F67" s="652"/>
      <c r="G67" s="551">
        <v>40999</v>
      </c>
      <c r="H67" s="568" t="str">
        <f>'Løntabel gældende fra'!$D$1</f>
        <v>01/10/23</v>
      </c>
    </row>
    <row r="68" spans="1:8" s="230" customFormat="1" ht="15.75" customHeight="1">
      <c r="A68" s="1717" t="s">
        <v>222</v>
      </c>
      <c r="B68" s="1718"/>
      <c r="C68" s="1718"/>
      <c r="D68" s="1718"/>
      <c r="E68" s="1718"/>
      <c r="F68" s="951" t="s">
        <v>165</v>
      </c>
      <c r="G68" s="952">
        <v>22.32</v>
      </c>
      <c r="H68" s="953">
        <f>ROUND(G68+G68*'Løntabel gældende fra'!$D$7%,2)</f>
        <v>25.87</v>
      </c>
    </row>
    <row r="69" spans="1:8" ht="16.5" customHeight="1">
      <c r="A69" s="1692" t="s">
        <v>502</v>
      </c>
      <c r="B69" s="1693"/>
      <c r="C69" s="1693"/>
      <c r="D69" s="1693"/>
      <c r="E69" s="1693"/>
      <c r="F69" s="1626" t="s">
        <v>165</v>
      </c>
      <c r="G69" s="1686">
        <v>39.92</v>
      </c>
      <c r="H69" s="1676">
        <f>ROUND(G69+G69*'Løntabel gældende fra'!$D$7%,2)</f>
        <v>46.28</v>
      </c>
    </row>
    <row r="70" spans="1:8" ht="16" customHeight="1">
      <c r="A70" s="1694"/>
      <c r="B70" s="1695"/>
      <c r="C70" s="1695"/>
      <c r="D70" s="1695"/>
      <c r="E70" s="1695"/>
      <c r="F70" s="1652"/>
      <c r="G70" s="1687"/>
      <c r="H70" s="1677"/>
    </row>
    <row r="71" spans="1:8" s="230" customFormat="1" ht="16">
      <c r="A71" s="1713" t="s">
        <v>164</v>
      </c>
      <c r="B71" s="1714"/>
      <c r="C71" s="1714"/>
      <c r="D71" s="1714"/>
      <c r="E71" s="1714"/>
      <c r="F71" s="649" t="s">
        <v>165</v>
      </c>
      <c r="G71" s="550">
        <v>39.92</v>
      </c>
      <c r="H71" s="571">
        <f>ROUND(G71+G71*'Løntabel gældende fra'!$D$7%,2)</f>
        <v>46.28</v>
      </c>
    </row>
    <row r="72" spans="1:8" ht="16" customHeight="1">
      <c r="A72" s="1636" t="s">
        <v>240</v>
      </c>
      <c r="B72" s="1637"/>
      <c r="C72" s="1637"/>
      <c r="D72" s="1637"/>
      <c r="E72" s="1637"/>
      <c r="F72" s="647" t="s">
        <v>165</v>
      </c>
      <c r="G72" s="550">
        <v>39.92</v>
      </c>
      <c r="H72" s="571">
        <f>ROUND(G72+G72*'Løntabel gældende fra'!$D$7%,2)</f>
        <v>46.28</v>
      </c>
    </row>
    <row r="73" spans="1:8" ht="16">
      <c r="A73" s="1713" t="s">
        <v>418</v>
      </c>
      <c r="B73" s="1714"/>
      <c r="C73" s="1714"/>
      <c r="D73" s="1714"/>
      <c r="E73" s="1714"/>
      <c r="F73" s="649" t="s">
        <v>166</v>
      </c>
      <c r="G73" s="550">
        <v>39.92</v>
      </c>
      <c r="H73" s="571">
        <f>ROUND(G73+G73*'Løntabel gældende fra'!$D$7%,2)</f>
        <v>46.28</v>
      </c>
    </row>
    <row r="74" spans="1:8" ht="16">
      <c r="A74" s="1713" t="s">
        <v>419</v>
      </c>
      <c r="B74" s="1714"/>
      <c r="C74" s="1714"/>
      <c r="D74" s="1714"/>
      <c r="E74" s="1714"/>
      <c r="F74" s="649" t="s">
        <v>166</v>
      </c>
      <c r="G74" s="550">
        <v>91.84</v>
      </c>
      <c r="H74" s="571">
        <f>ROUND(G74+G74*'Løntabel gældende fra'!$D$7%,2)</f>
        <v>106.46</v>
      </c>
    </row>
    <row r="75" spans="1:8" ht="17" thickBot="1">
      <c r="A75" s="1715" t="s">
        <v>420</v>
      </c>
      <c r="B75" s="1716"/>
      <c r="C75" s="1716"/>
      <c r="D75" s="1716"/>
      <c r="E75" s="1716"/>
      <c r="F75" s="650" t="s">
        <v>165</v>
      </c>
      <c r="G75" s="549">
        <v>39.92</v>
      </c>
      <c r="H75" s="570">
        <f>ROUND(G75+G75*'Løntabel gældende fra'!$D$7%,2)</f>
        <v>46.28</v>
      </c>
    </row>
    <row r="76" spans="1:8" ht="15" thickBot="1">
      <c r="A76" s="261"/>
      <c r="B76" s="261"/>
      <c r="C76" s="261"/>
      <c r="D76" s="261"/>
      <c r="E76" s="261"/>
      <c r="F76" s="249"/>
      <c r="G76" s="249"/>
    </row>
    <row r="77" spans="1:8" ht="27" customHeight="1" thickBot="1">
      <c r="A77" s="1645" t="s">
        <v>467</v>
      </c>
      <c r="B77" s="1646"/>
      <c r="C77" s="1646"/>
      <c r="D77" s="1646"/>
      <c r="E77" s="1646"/>
      <c r="F77" s="1646"/>
      <c r="G77" s="1646"/>
      <c r="H77" s="1647"/>
    </row>
    <row r="78" spans="1:8" ht="16">
      <c r="A78" s="1653" t="s">
        <v>162</v>
      </c>
      <c r="B78" s="1654"/>
      <c r="C78" s="1654"/>
      <c r="D78" s="1655"/>
      <c r="E78" s="1661" t="s">
        <v>341</v>
      </c>
      <c r="F78" s="1661"/>
      <c r="G78" s="1659" t="s">
        <v>342</v>
      </c>
      <c r="H78" s="1660"/>
    </row>
    <row r="79" spans="1:8" ht="13" customHeight="1" thickBot="1">
      <c r="A79" s="1656"/>
      <c r="B79" s="1657"/>
      <c r="C79" s="1657"/>
      <c r="D79" s="1658"/>
      <c r="E79" s="1705">
        <v>40999</v>
      </c>
      <c r="F79" s="1706"/>
      <c r="G79" s="1700" t="str">
        <f>'Løntabel gældende fra'!$D$1</f>
        <v>01/10/23</v>
      </c>
      <c r="H79" s="1701"/>
    </row>
    <row r="80" spans="1:8" ht="15" customHeight="1">
      <c r="A80" s="1604" t="s">
        <v>496</v>
      </c>
      <c r="B80" s="1605"/>
      <c r="C80" s="1605"/>
      <c r="D80" s="1606"/>
      <c r="E80" s="1638">
        <v>138.5</v>
      </c>
      <c r="F80" s="1639"/>
      <c r="G80" s="1640">
        <f>ROUND(+E80*(1+'Løntabel gældende fra'!$D$7/100),2)</f>
        <v>160.55000000000001</v>
      </c>
      <c r="H80" s="1639"/>
    </row>
    <row r="81" spans="1:8" ht="17" thickBot="1">
      <c r="A81" s="1709" t="s">
        <v>251</v>
      </c>
      <c r="B81" s="1710"/>
      <c r="C81" s="1710"/>
      <c r="D81" s="1711"/>
      <c r="E81" s="1707">
        <v>185</v>
      </c>
      <c r="F81" s="1708"/>
      <c r="G81" s="1698">
        <f>ROUND(+E81*(1+'Løntabel gældende fra'!$D$7/100),2)</f>
        <v>214.45</v>
      </c>
      <c r="H81" s="1699"/>
    </row>
    <row r="82" spans="1:8" ht="15" thickBot="1">
      <c r="A82" s="40"/>
      <c r="B82" s="40"/>
      <c r="C82" s="40"/>
      <c r="D82" s="223"/>
      <c r="E82" s="223"/>
      <c r="F82" s="223"/>
      <c r="G82" s="223"/>
    </row>
    <row r="83" spans="1:8" ht="19" thickBot="1">
      <c r="A83" s="1702" t="str">
        <f>"Unge under 18 år, pr. arbejdstime (60 minutter) pr. "&amp;'Løntabel gældende fra'!D1&amp;""</f>
        <v>Unge under 18 år, pr. arbejdstime (60 minutter) pr. 01/10/23</v>
      </c>
      <c r="B83" s="1703"/>
      <c r="C83" s="1703"/>
      <c r="D83" s="1703"/>
      <c r="E83" s="1703"/>
      <c r="F83" s="1704"/>
    </row>
    <row r="84" spans="1:8" ht="19" customHeight="1" thickBot="1">
      <c r="A84" s="572" t="s">
        <v>157</v>
      </c>
      <c r="B84" s="573" t="s">
        <v>75</v>
      </c>
      <c r="C84" s="573" t="s">
        <v>76</v>
      </c>
      <c r="D84" s="573" t="s">
        <v>77</v>
      </c>
      <c r="E84" s="573" t="s">
        <v>78</v>
      </c>
      <c r="F84" s="574" t="s">
        <v>79</v>
      </c>
    </row>
    <row r="85" spans="1:8" ht="17">
      <c r="A85" s="626" t="s">
        <v>158</v>
      </c>
      <c r="B85" s="575">
        <f>0.66*B10/160.33</f>
        <v>93.346303249547802</v>
      </c>
      <c r="C85" s="576">
        <f>0.66*C10/160.33</f>
        <v>95.327744027942359</v>
      </c>
      <c r="D85" s="576">
        <f>0.66*D10/160.33</f>
        <v>96.699570885049567</v>
      </c>
      <c r="E85" s="576">
        <f>0.66*E10/160.33</f>
        <v>98.680270691698382</v>
      </c>
      <c r="F85" s="577">
        <f>0.66*F10/160.33</f>
        <v>100.05209754880559</v>
      </c>
    </row>
    <row r="86" spans="1:8" ht="17" thickBot="1">
      <c r="A86" s="567" t="s">
        <v>159</v>
      </c>
      <c r="B86" s="578">
        <f>0.74*B10/160.33</f>
        <v>104.66100667373541</v>
      </c>
      <c r="C86" s="579">
        <f>0.74*C10/160.33</f>
        <v>106.88262209193537</v>
      </c>
      <c r="D86" s="579">
        <f>0.74*D10/160.33</f>
        <v>108.4207309923283</v>
      </c>
      <c r="E86" s="579">
        <f>0.74*E10/160.33</f>
        <v>110.64151562402544</v>
      </c>
      <c r="F86" s="580">
        <f>0.74*F10/160.33</f>
        <v>112.17962452441839</v>
      </c>
    </row>
    <row r="87" spans="1:8" ht="15" thickBot="1">
      <c r="A87" s="231"/>
      <c r="B87" s="232"/>
      <c r="C87" s="232"/>
      <c r="D87" s="232"/>
      <c r="E87" s="232"/>
      <c r="F87" s="232"/>
    </row>
    <row r="88" spans="1:8" ht="16.5" customHeight="1" thickBot="1">
      <c r="A88" s="1645" t="s">
        <v>160</v>
      </c>
      <c r="B88" s="1646"/>
      <c r="C88" s="1646"/>
      <c r="D88" s="1646"/>
      <c r="E88" s="1646"/>
      <c r="F88" s="1646"/>
      <c r="G88" s="1647"/>
    </row>
    <row r="89" spans="1:8" ht="18.75" customHeight="1">
      <c r="A89" s="1653" t="s">
        <v>161</v>
      </c>
      <c r="B89" s="1654"/>
      <c r="C89" s="1655"/>
      <c r="D89" s="1659" t="s">
        <v>101</v>
      </c>
      <c r="E89" s="1660"/>
      <c r="F89" s="1659" t="s">
        <v>278</v>
      </c>
      <c r="G89" s="1660"/>
    </row>
    <row r="90" spans="1:8" ht="17" thickBot="1">
      <c r="A90" s="1656"/>
      <c r="B90" s="1657"/>
      <c r="C90" s="1658"/>
      <c r="D90" s="1700">
        <v>40999</v>
      </c>
      <c r="E90" s="1712"/>
      <c r="F90" s="1700" t="str">
        <f>'Løntabel gældende fra'!$D$1</f>
        <v>01/10/23</v>
      </c>
      <c r="G90" s="1701"/>
    </row>
    <row r="91" spans="1:8" ht="16">
      <c r="A91" s="1604" t="s">
        <v>303</v>
      </c>
      <c r="B91" s="1605"/>
      <c r="C91" s="1606"/>
      <c r="D91" s="1638">
        <v>10704</v>
      </c>
      <c r="E91" s="1639"/>
      <c r="F91" s="1640">
        <f>ROUND(+D91*(1+'Løntabel gældende fra'!$D$7/100),2)</f>
        <v>12408.04</v>
      </c>
      <c r="G91" s="1639">
        <f>+E91*(1+'Løntabel gældende fra'!$D$7/100)</f>
        <v>0</v>
      </c>
    </row>
    <row r="92" spans="1:8" ht="17" thickBot="1">
      <c r="A92" s="1709" t="s">
        <v>304</v>
      </c>
      <c r="B92" s="1710"/>
      <c r="C92" s="1711"/>
      <c r="D92" s="1707">
        <v>11039</v>
      </c>
      <c r="E92" s="1708"/>
      <c r="F92" s="1698">
        <f>ROUND(+D92*(1+'Løntabel gældende fra'!$D$7/100),2)</f>
        <v>12796.38</v>
      </c>
      <c r="G92" s="1699">
        <f>+E92*(1+'Løntabel gældende fra'!$D$7/100)</f>
        <v>0</v>
      </c>
    </row>
    <row r="93" spans="1:8" ht="16">
      <c r="A93" s="581"/>
      <c r="B93" s="582"/>
      <c r="C93" s="582"/>
      <c r="D93" s="582"/>
      <c r="E93" s="582"/>
      <c r="F93" s="582"/>
      <c r="G93" s="583"/>
      <c r="H93" s="229"/>
    </row>
    <row r="94" spans="1:8">
      <c r="F94" s="229"/>
    </row>
    <row r="95" spans="1:8">
      <c r="A95" s="238"/>
      <c r="B95" s="238"/>
      <c r="C95" s="238"/>
      <c r="H95" s="230"/>
    </row>
    <row r="96" spans="1:8">
      <c r="A96" s="230"/>
      <c r="B96" s="230"/>
      <c r="C96" s="230"/>
      <c r="D96" s="230"/>
      <c r="E96" s="230"/>
      <c r="F96" s="230"/>
      <c r="G96" s="230"/>
    </row>
  </sheetData>
  <sheetProtection sheet="1" objects="1" scenarios="1"/>
  <mergeCells count="75">
    <mergeCell ref="A73:E73"/>
    <mergeCell ref="A74:E74"/>
    <mergeCell ref="A75:E75"/>
    <mergeCell ref="A68:E68"/>
    <mergeCell ref="A71:E71"/>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A1:H1"/>
    <mergeCell ref="A2:H2"/>
    <mergeCell ref="A3:H3"/>
    <mergeCell ref="G34:H34"/>
    <mergeCell ref="A5:F5"/>
    <mergeCell ref="A34:F34"/>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12" customWidth="1"/>
    <col min="2" max="3" width="11.1640625" style="212" customWidth="1"/>
    <col min="4" max="4" width="11.33203125" style="212" customWidth="1"/>
    <col min="5" max="6" width="10.6640625" style="212" customWidth="1"/>
    <col min="7" max="7" width="10.1640625" style="212" customWidth="1"/>
    <col min="8" max="8" width="10.83203125" style="212" customWidth="1"/>
    <col min="9" max="9" width="11.1640625" style="212" customWidth="1"/>
    <col min="10" max="10" width="9.1640625" style="212" customWidth="1"/>
    <col min="11" max="16384" width="8.83203125" style="212"/>
  </cols>
  <sheetData>
    <row r="1" spans="1:16" ht="20">
      <c r="A1" s="1185" t="s">
        <v>19</v>
      </c>
      <c r="B1" s="1186"/>
      <c r="C1" s="1186"/>
      <c r="D1" s="1186"/>
      <c r="E1" s="1186"/>
      <c r="F1" s="1186"/>
      <c r="G1" s="1186"/>
      <c r="H1" s="1186"/>
      <c r="I1" s="1186"/>
      <c r="J1" s="1187"/>
    </row>
    <row r="2" spans="1:16" ht="20">
      <c r="A2" s="1728" t="s">
        <v>190</v>
      </c>
      <c r="B2" s="1729"/>
      <c r="C2" s="1729"/>
      <c r="D2" s="1729"/>
      <c r="E2" s="1729"/>
      <c r="F2" s="1729"/>
      <c r="G2" s="1729"/>
      <c r="H2" s="1729"/>
      <c r="I2" s="1729"/>
      <c r="J2" s="1730"/>
    </row>
    <row r="3" spans="1:16" ht="21" thickBot="1">
      <c r="A3" s="1662" t="s">
        <v>224</v>
      </c>
      <c r="B3" s="1663"/>
      <c r="C3" s="1663"/>
      <c r="D3" s="1663"/>
      <c r="E3" s="1663"/>
      <c r="F3" s="1663"/>
      <c r="G3" s="1663"/>
      <c r="H3" s="1663"/>
      <c r="I3" s="1663"/>
      <c r="J3" s="1664"/>
    </row>
    <row r="4" spans="1:16" ht="23">
      <c r="A4" s="1734"/>
      <c r="B4" s="1735"/>
      <c r="C4" s="1735"/>
      <c r="D4" s="1735"/>
      <c r="E4" s="1735"/>
      <c r="F4" s="1735"/>
      <c r="G4" s="1735"/>
      <c r="H4" s="1735"/>
      <c r="I4" s="1735"/>
      <c r="J4" s="228"/>
    </row>
    <row r="5" spans="1:16" ht="47.25" customHeight="1">
      <c r="A5" s="1002" t="s">
        <v>242</v>
      </c>
      <c r="B5" s="1003"/>
      <c r="C5" s="1003"/>
      <c r="D5" s="1003"/>
      <c r="E5" s="1003"/>
      <c r="F5" s="1003"/>
      <c r="G5" s="1003"/>
      <c r="H5" s="1003"/>
      <c r="I5" s="1003"/>
      <c r="J5" s="228"/>
    </row>
    <row r="6" spans="1:16" ht="8"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9" thickBot="1">
      <c r="A8" s="1731" t="s">
        <v>15</v>
      </c>
      <c r="B8" s="1732"/>
      <c r="C8" s="1732"/>
      <c r="D8" s="1732"/>
      <c r="E8" s="1732"/>
      <c r="F8" s="1733"/>
      <c r="G8" s="1702" t="s">
        <v>168</v>
      </c>
      <c r="H8" s="1703"/>
      <c r="I8" s="1703"/>
      <c r="J8" s="1704"/>
      <c r="L8" s="239"/>
      <c r="M8" s="238"/>
      <c r="N8" s="238"/>
      <c r="O8" s="238"/>
      <c r="P8" s="238"/>
    </row>
    <row r="9" spans="1:16" ht="42">
      <c r="A9" s="444" t="s">
        <v>57</v>
      </c>
      <c r="B9" s="444" t="s">
        <v>75</v>
      </c>
      <c r="C9" s="447" t="s">
        <v>76</v>
      </c>
      <c r="D9" s="444" t="s">
        <v>77</v>
      </c>
      <c r="E9" s="444" t="s">
        <v>78</v>
      </c>
      <c r="F9" s="444" t="s">
        <v>79</v>
      </c>
      <c r="G9" s="448" t="s">
        <v>185</v>
      </c>
      <c r="H9" s="449" t="s">
        <v>187</v>
      </c>
      <c r="I9" s="449" t="s">
        <v>188</v>
      </c>
      <c r="J9" s="450">
        <v>0.14000000000000001</v>
      </c>
    </row>
    <row r="10" spans="1:16" ht="15" customHeight="1">
      <c r="A10" s="361" t="s">
        <v>230</v>
      </c>
      <c r="B10" s="278">
        <f>+'Statens skalatrin'!D46+F24/12</f>
        <v>22176.215710749999</v>
      </c>
      <c r="C10" s="279">
        <f>+'Statens skalatrin'!F46+F24/12</f>
        <v>22634.125710750002</v>
      </c>
      <c r="D10" s="280">
        <f>+'Statens skalatrin'!H46+F24/12</f>
        <v>22951.045710750001</v>
      </c>
      <c r="E10" s="278">
        <f>+'Statens skalatrin'!J46+F24/12</f>
        <v>23408.795710750001</v>
      </c>
      <c r="F10" s="278">
        <f>+'Statens skalatrin'!L46+F24/12</f>
        <v>23725.795710750001</v>
      </c>
      <c r="G10" s="281">
        <f>+'Statens skalatrin'!O46+F24/12</f>
        <v>20746.36571075</v>
      </c>
      <c r="H10" s="282">
        <f>J10*1/3</f>
        <v>968.16373316833335</v>
      </c>
      <c r="I10" s="283">
        <f>J10*2/3</f>
        <v>1936.3274663366667</v>
      </c>
      <c r="J10" s="283">
        <f>G10*$J$9</f>
        <v>2904.4911995050002</v>
      </c>
    </row>
    <row r="11" spans="1:16" ht="15" customHeight="1">
      <c r="A11" s="290">
        <v>17</v>
      </c>
      <c r="B11" s="278">
        <f>+'Statens skalatrin'!D55</f>
        <v>23087.83</v>
      </c>
      <c r="C11" s="279">
        <f>+'Statens skalatrin'!F55</f>
        <v>23581.33</v>
      </c>
      <c r="D11" s="280">
        <f>+'Statens skalatrin'!H55</f>
        <v>23923</v>
      </c>
      <c r="E11" s="278">
        <f>'Statens skalatrin'!J55</f>
        <v>24416.42</v>
      </c>
      <c r="F11" s="278">
        <f>+'Statens skalatrin'!L55</f>
        <v>24757.919999999998</v>
      </c>
      <c r="G11" s="281">
        <f>+'Statens skalatrin'!O55</f>
        <v>21684.14</v>
      </c>
      <c r="H11" s="282">
        <f>J11*1/3</f>
        <v>1011.9265333333334</v>
      </c>
      <c r="I11" s="283">
        <f>J11*2/3</f>
        <v>2023.8530666666668</v>
      </c>
      <c r="J11" s="283">
        <f>G11*$J$9</f>
        <v>3035.7796000000003</v>
      </c>
    </row>
    <row r="12" spans="1:16" ht="17" customHeight="1" thickBot="1">
      <c r="A12" s="291" t="s">
        <v>169</v>
      </c>
      <c r="B12" s="284">
        <f>+'Statens skalatrin'!D64+F25/12</f>
        <v>24208.596261500003</v>
      </c>
      <c r="C12" s="285">
        <f>+'Statens skalatrin'!F64+F25/12</f>
        <v>24740.516261500001</v>
      </c>
      <c r="D12" s="286">
        <f>+'Statens skalatrin'!H64+F25/12</f>
        <v>25109.016261500001</v>
      </c>
      <c r="E12" s="284">
        <f>+'Statens skalatrin'!J64+F25/12</f>
        <v>25641.016261500001</v>
      </c>
      <c r="F12" s="284">
        <f>+'Statens skalatrin'!L64+F25/12</f>
        <v>26009.266261500001</v>
      </c>
      <c r="G12" s="287">
        <f>+'Statens skalatrin'!O64+F25/12</f>
        <v>22960.176261500001</v>
      </c>
      <c r="H12" s="288">
        <f>J12*1/3</f>
        <v>1071.4748922033334</v>
      </c>
      <c r="I12" s="289">
        <f>J12*2/3</f>
        <v>2142.9497844066668</v>
      </c>
      <c r="J12" s="289">
        <f>G12*$J$9</f>
        <v>3214.4246766100005</v>
      </c>
    </row>
    <row r="13" spans="1:16" ht="17" customHeight="1">
      <c r="A13" s="238" t="s">
        <v>243</v>
      </c>
      <c r="B13" s="232"/>
      <c r="C13" s="232"/>
      <c r="D13" s="232"/>
      <c r="E13" s="232"/>
      <c r="F13" s="232"/>
      <c r="G13" s="255"/>
      <c r="H13" s="256"/>
      <c r="I13" s="257"/>
      <c r="J13" s="257"/>
    </row>
    <row r="14" spans="1:16" ht="16" customHeight="1" thickBot="1">
      <c r="A14" s="252"/>
      <c r="B14" s="252"/>
      <c r="C14" s="252"/>
      <c r="D14" s="252"/>
      <c r="E14" s="252"/>
      <c r="F14" s="252"/>
      <c r="G14" s="252"/>
      <c r="H14" s="252"/>
      <c r="I14" s="252"/>
      <c r="J14" s="228"/>
      <c r="L14" s="254"/>
    </row>
    <row r="15" spans="1:16" ht="16" customHeight="1" thickBot="1">
      <c r="A15" s="1702" t="s">
        <v>170</v>
      </c>
      <c r="B15" s="1703"/>
      <c r="C15" s="1703"/>
      <c r="D15" s="1703"/>
      <c r="E15" s="1703"/>
      <c r="F15" s="1704"/>
      <c r="G15" s="238"/>
      <c r="H15" s="238"/>
      <c r="I15" s="238"/>
      <c r="J15" s="228"/>
      <c r="L15" s="254"/>
    </row>
    <row r="16" spans="1:16" ht="16" customHeight="1" thickBot="1">
      <c r="A16" s="242" t="s">
        <v>171</v>
      </c>
      <c r="B16" s="243"/>
      <c r="C16" s="243"/>
      <c r="D16" s="243"/>
      <c r="E16" s="243"/>
      <c r="F16" s="244"/>
      <c r="G16" s="238"/>
      <c r="H16" s="238"/>
      <c r="I16" s="238"/>
      <c r="J16" s="228"/>
      <c r="L16" s="254"/>
    </row>
    <row r="17" spans="1:10" ht="16" customHeight="1">
      <c r="A17" s="444" t="s">
        <v>57</v>
      </c>
      <c r="B17" s="445" t="s">
        <v>75</v>
      </c>
      <c r="C17" s="444" t="s">
        <v>76</v>
      </c>
      <c r="D17" s="445" t="s">
        <v>77</v>
      </c>
      <c r="E17" s="444" t="s">
        <v>78</v>
      </c>
      <c r="F17" s="446" t="s">
        <v>79</v>
      </c>
      <c r="G17" s="238"/>
      <c r="H17" s="238"/>
      <c r="I17" s="238"/>
      <c r="J17" s="228"/>
    </row>
    <row r="18" spans="1:10" ht="16" customHeight="1" thickBot="1">
      <c r="A18" s="295">
        <v>14</v>
      </c>
      <c r="B18" s="292">
        <f>B10*12/1924</f>
        <v>138.31319570114346</v>
      </c>
      <c r="C18" s="293">
        <f>C10*12/1924</f>
        <v>141.16918322713099</v>
      </c>
      <c r="D18" s="292">
        <f>D10*12/1924</f>
        <v>143.145815243763</v>
      </c>
      <c r="E18" s="293">
        <f>E10*12/1924</f>
        <v>146.00080484875261</v>
      </c>
      <c r="F18" s="294">
        <f>F10*12/1924</f>
        <v>147.97793582588358</v>
      </c>
      <c r="G18" s="238"/>
      <c r="H18" s="237"/>
      <c r="I18" s="237"/>
      <c r="J18" s="228"/>
    </row>
    <row r="19" spans="1:10" ht="15" customHeight="1">
      <c r="A19" s="247"/>
      <c r="B19" s="246"/>
      <c r="C19" s="246"/>
      <c r="D19" s="246"/>
      <c r="E19" s="246"/>
      <c r="F19" s="246"/>
      <c r="G19" s="238"/>
      <c r="H19" s="237"/>
      <c r="I19" s="237"/>
      <c r="J19" s="228"/>
    </row>
    <row r="20" spans="1:10" ht="13" customHeight="1" thickBot="1">
      <c r="A20" s="247"/>
      <c r="B20" s="246"/>
      <c r="C20" s="246"/>
      <c r="D20" s="246"/>
      <c r="E20" s="246"/>
      <c r="F20" s="246"/>
      <c r="G20" s="238"/>
      <c r="H20" s="237"/>
      <c r="I20" s="237"/>
      <c r="J20" s="228"/>
    </row>
    <row r="21" spans="1:10" ht="15" customHeight="1" thickBot="1">
      <c r="A21" s="1079" t="s">
        <v>163</v>
      </c>
      <c r="B21" s="1080"/>
      <c r="C21" s="1080"/>
      <c r="D21" s="1080"/>
      <c r="E21" s="1080"/>
      <c r="F21" s="1081"/>
      <c r="G21" s="206"/>
      <c r="H21" s="206"/>
      <c r="I21" s="206"/>
      <c r="J21" s="228"/>
    </row>
    <row r="22" spans="1:10" ht="15" customHeight="1">
      <c r="A22" s="1736" t="s">
        <v>182</v>
      </c>
      <c r="B22" s="1737"/>
      <c r="C22" s="1737"/>
      <c r="D22" s="1737"/>
      <c r="E22" s="438" t="s">
        <v>98</v>
      </c>
      <c r="F22" s="442" t="s">
        <v>103</v>
      </c>
      <c r="G22" s="249"/>
      <c r="H22" s="238"/>
      <c r="I22" s="238"/>
      <c r="J22" s="228"/>
    </row>
    <row r="23" spans="1:10" ht="15" customHeight="1" thickBot="1">
      <c r="A23" s="1738"/>
      <c r="B23" s="1739"/>
      <c r="C23" s="1739"/>
      <c r="D23" s="1739"/>
      <c r="E23" s="440">
        <v>40999</v>
      </c>
      <c r="F23" s="443" t="str">
        <f>'Løntabel gældende fra'!$D$1</f>
        <v>01/10/23</v>
      </c>
      <c r="G23" s="249"/>
      <c r="H23" s="238"/>
      <c r="I23" s="238"/>
      <c r="J23" s="228"/>
    </row>
    <row r="24" spans="1:10" ht="15" customHeight="1" thickBot="1">
      <c r="A24" s="1742" t="s">
        <v>229</v>
      </c>
      <c r="B24" s="1743"/>
      <c r="C24" s="1743"/>
      <c r="D24" s="418"/>
      <c r="E24" s="304">
        <v>1957</v>
      </c>
      <c r="F24" s="296">
        <f>E24+E24*'Løntabel gældende fra'!$D$7%</f>
        <v>2268.5485290000001</v>
      </c>
      <c r="G24" s="249"/>
      <c r="H24" s="238"/>
      <c r="I24" s="238"/>
      <c r="J24" s="228"/>
    </row>
    <row r="25" spans="1:10" ht="15" customHeight="1" thickBot="1">
      <c r="A25" s="1740" t="s">
        <v>183</v>
      </c>
      <c r="B25" s="1741"/>
      <c r="C25" s="1741"/>
      <c r="D25" s="419"/>
      <c r="E25" s="304">
        <v>554</v>
      </c>
      <c r="F25" s="296">
        <f>E25+E25*'Løntabel gældende fra'!$D$7%</f>
        <v>642.19513800000004</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79" t="s">
        <v>172</v>
      </c>
      <c r="B28" s="1080"/>
      <c r="C28" s="1080"/>
      <c r="D28" s="1080"/>
      <c r="E28" s="1080"/>
      <c r="F28" s="1080"/>
      <c r="G28" s="1080"/>
      <c r="H28" s="1080"/>
      <c r="I28" s="1081"/>
      <c r="J28" s="228"/>
    </row>
    <row r="29" spans="1:10" ht="15" customHeight="1" thickBot="1">
      <c r="A29" s="1719"/>
      <c r="B29" s="1720"/>
      <c r="C29" s="1720"/>
      <c r="D29" s="1720"/>
      <c r="E29" s="1720"/>
      <c r="F29" s="1720"/>
      <c r="G29" s="1720"/>
      <c r="H29" s="438" t="s">
        <v>98</v>
      </c>
      <c r="I29" s="439" t="s">
        <v>103</v>
      </c>
      <c r="J29" s="228"/>
    </row>
    <row r="30" spans="1:10" ht="15" customHeight="1" thickBot="1">
      <c r="A30" s="1721"/>
      <c r="B30" s="1722"/>
      <c r="C30" s="1722"/>
      <c r="D30" s="1722"/>
      <c r="E30" s="1722"/>
      <c r="F30" s="1722"/>
      <c r="G30" s="1723"/>
      <c r="H30" s="440">
        <v>40999</v>
      </c>
      <c r="I30" s="441" t="str">
        <f>'Løntabel gældende fra'!$D$1</f>
        <v>01/10/23</v>
      </c>
      <c r="J30" s="228"/>
    </row>
    <row r="31" spans="1:10" ht="15" customHeight="1">
      <c r="A31" s="1724" t="s">
        <v>173</v>
      </c>
      <c r="B31" s="1725"/>
      <c r="C31" s="1725"/>
      <c r="D31" s="1725"/>
      <c r="E31" s="1725"/>
      <c r="F31" s="233"/>
      <c r="G31" s="235" t="s">
        <v>165</v>
      </c>
      <c r="H31" s="297">
        <v>22.32</v>
      </c>
      <c r="I31" s="298">
        <f>H31+H31*'Løntabel gældende fra'!$D$7%</f>
        <v>25.873277040000001</v>
      </c>
      <c r="J31" s="228"/>
    </row>
    <row r="32" spans="1:10" ht="15" customHeight="1">
      <c r="A32" s="1726" t="s">
        <v>174</v>
      </c>
      <c r="B32" s="1727"/>
      <c r="C32" s="1727"/>
      <c r="D32" s="1727"/>
      <c r="E32" s="1727"/>
      <c r="F32" s="253"/>
      <c r="G32" s="236" t="s">
        <v>165</v>
      </c>
      <c r="H32" s="299">
        <v>39.921999999999997</v>
      </c>
      <c r="I32" s="300">
        <f>H32+H32*'Løntabel gældende fra'!$D$7%</f>
        <v>46.277462633999995</v>
      </c>
      <c r="J32" s="228"/>
    </row>
    <row r="33" spans="1:10" ht="26" customHeight="1">
      <c r="A33" s="1724" t="s">
        <v>175</v>
      </c>
      <c r="B33" s="1725"/>
      <c r="C33" s="1725"/>
      <c r="D33" s="1725"/>
      <c r="E33" s="1725"/>
      <c r="F33" s="1725"/>
      <c r="G33" s="236" t="s">
        <v>165</v>
      </c>
      <c r="H33" s="299">
        <v>39.92</v>
      </c>
      <c r="I33" s="300">
        <f>H33+H33*'Løntabel gældende fra'!$D$7%</f>
        <v>46.275144240000003</v>
      </c>
      <c r="J33" s="228"/>
    </row>
    <row r="34" spans="1:10" ht="15" customHeight="1" thickBot="1">
      <c r="A34" s="266" t="s">
        <v>164</v>
      </c>
      <c r="B34" s="265"/>
      <c r="C34" s="265"/>
      <c r="D34" s="265"/>
      <c r="E34" s="250"/>
      <c r="F34" s="250"/>
      <c r="G34" s="260" t="s">
        <v>165</v>
      </c>
      <c r="H34" s="301">
        <v>39.921999999999997</v>
      </c>
      <c r="I34" s="302">
        <f>H34+H34*'Løntabel gældende fra'!$D$7%</f>
        <v>46.277462633999995</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79" t="s">
        <v>176</v>
      </c>
      <c r="B37" s="1080"/>
      <c r="C37" s="1080"/>
      <c r="D37" s="1080"/>
      <c r="E37" s="1080"/>
      <c r="F37" s="1080"/>
      <c r="G37" s="1080"/>
      <c r="H37" s="1080"/>
      <c r="I37" s="1081"/>
      <c r="J37" s="238"/>
    </row>
    <row r="38" spans="1:10" ht="15" customHeight="1" thickBot="1">
      <c r="A38" s="1719"/>
      <c r="B38" s="1720"/>
      <c r="C38" s="1720"/>
      <c r="D38" s="1720"/>
      <c r="E38" s="1720"/>
      <c r="F38" s="1720"/>
      <c r="G38" s="1720"/>
      <c r="H38" s="438" t="s">
        <v>98</v>
      </c>
      <c r="I38" s="439" t="s">
        <v>103</v>
      </c>
      <c r="J38" s="238"/>
    </row>
    <row r="39" spans="1:10" ht="15" customHeight="1" thickBot="1">
      <c r="A39" s="1721"/>
      <c r="B39" s="1722"/>
      <c r="C39" s="1722"/>
      <c r="D39" s="1722"/>
      <c r="E39" s="1722"/>
      <c r="F39" s="1722"/>
      <c r="G39" s="1723"/>
      <c r="H39" s="440">
        <v>40999</v>
      </c>
      <c r="I39" s="441" t="str">
        <f>'Løntabel gældende fra'!$D$1</f>
        <v>01/10/23</v>
      </c>
      <c r="J39" s="238"/>
    </row>
    <row r="40" spans="1:10" ht="15" customHeight="1" thickBot="1">
      <c r="A40" s="1752" t="s">
        <v>177</v>
      </c>
      <c r="B40" s="1753"/>
      <c r="C40" s="1753"/>
      <c r="D40" s="1753"/>
      <c r="E40" s="1753"/>
      <c r="F40" s="234"/>
      <c r="G40" s="245" t="s">
        <v>165</v>
      </c>
      <c r="H40" s="303">
        <v>6.88</v>
      </c>
      <c r="I40" s="296">
        <f>H40+H40*'Løntabel gældende fra'!$D$7%</f>
        <v>7.9752753599999995</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79" t="s">
        <v>178</v>
      </c>
      <c r="B43" s="1080"/>
      <c r="C43" s="1080"/>
      <c r="D43" s="1080"/>
      <c r="E43" s="1080"/>
      <c r="F43" s="1080"/>
      <c r="G43" s="1080"/>
      <c r="H43" s="1080"/>
      <c r="I43" s="1081"/>
      <c r="J43" s="238"/>
    </row>
    <row r="44" spans="1:10" ht="15" customHeight="1">
      <c r="A44" s="1744"/>
      <c r="B44" s="1745"/>
      <c r="C44" s="1745"/>
      <c r="D44" s="1745"/>
      <c r="E44" s="1745"/>
      <c r="F44" s="1745"/>
      <c r="G44" s="1746"/>
      <c r="H44" s="438" t="s">
        <v>98</v>
      </c>
      <c r="I44" s="439" t="s">
        <v>103</v>
      </c>
      <c r="J44" s="238"/>
    </row>
    <row r="45" spans="1:10" ht="15" customHeight="1" thickBot="1">
      <c r="A45" s="1747"/>
      <c r="B45" s="1748"/>
      <c r="C45" s="1748"/>
      <c r="D45" s="1748"/>
      <c r="E45" s="1748"/>
      <c r="F45" s="1748"/>
      <c r="G45" s="1749"/>
      <c r="H45" s="440">
        <v>40999</v>
      </c>
      <c r="I45" s="441" t="str">
        <f>'Løntabel gældende fra'!$D$1</f>
        <v>01/10/23</v>
      </c>
      <c r="J45" s="238"/>
    </row>
    <row r="46" spans="1:10" ht="15" customHeight="1" thickBot="1">
      <c r="A46" s="1752" t="s">
        <v>191</v>
      </c>
      <c r="B46" s="1753"/>
      <c r="C46" s="1753"/>
      <c r="D46" s="1753"/>
      <c r="E46" s="1753"/>
      <c r="F46" s="234"/>
      <c r="G46" s="245"/>
      <c r="H46" s="303">
        <v>655</v>
      </c>
      <c r="I46" s="296">
        <f>H46+H46*'Løntabel gældende fra'!$D$7%</f>
        <v>759.27403500000003</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79" t="s">
        <v>179</v>
      </c>
      <c r="B49" s="1080"/>
      <c r="C49" s="1080"/>
      <c r="D49" s="1080"/>
      <c r="E49" s="1080"/>
      <c r="F49" s="1080"/>
      <c r="G49" s="1080"/>
      <c r="H49" s="1080"/>
      <c r="I49" s="1081"/>
      <c r="J49" s="238"/>
    </row>
    <row r="50" spans="1:10" ht="15" customHeight="1">
      <c r="A50" s="1736" t="s">
        <v>181</v>
      </c>
      <c r="B50" s="1737"/>
      <c r="C50" s="1737"/>
      <c r="D50" s="1737"/>
      <c r="E50" s="1737"/>
      <c r="F50" s="1737"/>
      <c r="G50" s="1750"/>
      <c r="H50" s="438" t="s">
        <v>98</v>
      </c>
      <c r="I50" s="439" t="s">
        <v>103</v>
      </c>
      <c r="J50" s="238"/>
    </row>
    <row r="51" spans="1:10" ht="15" customHeight="1" thickBot="1">
      <c r="A51" s="1738"/>
      <c r="B51" s="1739"/>
      <c r="C51" s="1739"/>
      <c r="D51" s="1739"/>
      <c r="E51" s="1739"/>
      <c r="F51" s="1739"/>
      <c r="G51" s="1751"/>
      <c r="H51" s="440">
        <v>40999</v>
      </c>
      <c r="I51" s="441" t="str">
        <f>'Løntabel gældende fra'!$D$1</f>
        <v>01/10/23</v>
      </c>
      <c r="J51" s="238"/>
    </row>
    <row r="52" spans="1:10" ht="15" customHeight="1" thickBot="1">
      <c r="A52" s="1752" t="s">
        <v>180</v>
      </c>
      <c r="B52" s="1753"/>
      <c r="C52" s="1753"/>
      <c r="D52" s="1753"/>
      <c r="E52" s="1753"/>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9" thickBot="1">
      <c r="A55" s="1079" t="s">
        <v>184</v>
      </c>
      <c r="B55" s="1080"/>
      <c r="C55" s="1080"/>
      <c r="D55" s="1080"/>
      <c r="E55" s="1080"/>
      <c r="F55" s="1080"/>
      <c r="G55" s="1080"/>
      <c r="H55" s="1080"/>
      <c r="I55" s="1081"/>
    </row>
    <row r="56" spans="1:10" s="238" customFormat="1" ht="14">
      <c r="A56" s="1736"/>
      <c r="B56" s="1737"/>
      <c r="C56" s="1737"/>
      <c r="D56" s="1737"/>
      <c r="E56" s="1737"/>
      <c r="F56" s="1737"/>
      <c r="G56" s="1750"/>
      <c r="H56" s="438" t="s">
        <v>98</v>
      </c>
      <c r="I56" s="439" t="s">
        <v>103</v>
      </c>
    </row>
    <row r="57" spans="1:10" s="238" customFormat="1" ht="15" thickBot="1">
      <c r="A57" s="1738"/>
      <c r="B57" s="1739"/>
      <c r="C57" s="1739"/>
      <c r="D57" s="1739"/>
      <c r="E57" s="1739"/>
      <c r="F57" s="1739"/>
      <c r="G57" s="1751"/>
      <c r="H57" s="440">
        <v>40999</v>
      </c>
      <c r="I57" s="441" t="str">
        <f>'Løntabel gældende fra'!$D$1</f>
        <v>01/10/23</v>
      </c>
    </row>
    <row r="58" spans="1:10" s="238" customFormat="1" ht="15" thickBot="1">
      <c r="A58" s="1752" t="s">
        <v>184</v>
      </c>
      <c r="B58" s="1753"/>
      <c r="C58" s="1753"/>
      <c r="D58" s="1753"/>
      <c r="E58" s="1753"/>
      <c r="F58" s="234"/>
      <c r="G58" s="245"/>
      <c r="H58" s="303">
        <v>10500</v>
      </c>
      <c r="I58" s="304">
        <f>H58+H58*'Løntabel gældende fra'!$D$7%</f>
        <v>12171.568499999999</v>
      </c>
    </row>
    <row r="59" spans="1:10" s="264" customFormat="1" ht="14">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12" customWidth="1"/>
    <col min="2" max="2" width="15" style="212" customWidth="1"/>
    <col min="3" max="3" width="16.33203125" style="212" customWidth="1"/>
    <col min="4" max="4" width="16.1640625" style="213" customWidth="1"/>
    <col min="5" max="5" width="17.33203125" style="212" customWidth="1"/>
    <col min="6" max="6" width="13.6640625" style="214" customWidth="1"/>
    <col min="7" max="7" width="0.33203125" style="214" customWidth="1"/>
    <col min="8" max="8" width="10.6640625" style="212" customWidth="1"/>
    <col min="9" max="16384" width="8.83203125" style="212"/>
  </cols>
  <sheetData>
    <row r="1" spans="1:9" s="2" customFormat="1" ht="22" customHeight="1">
      <c r="A1" s="1185" t="s">
        <v>19</v>
      </c>
      <c r="B1" s="1186"/>
      <c r="C1" s="1186"/>
      <c r="D1" s="1186"/>
      <c r="E1" s="1186"/>
      <c r="F1" s="1186"/>
      <c r="G1" s="1187"/>
      <c r="H1" s="401"/>
      <c r="I1" s="39"/>
    </row>
    <row r="2" spans="1:9" s="2" customFormat="1" ht="76" customHeight="1">
      <c r="A2" s="1728" t="s">
        <v>148</v>
      </c>
      <c r="B2" s="1729"/>
      <c r="C2" s="1729"/>
      <c r="D2" s="1729"/>
      <c r="E2" s="1729"/>
      <c r="F2" s="1729"/>
      <c r="G2" s="1730"/>
      <c r="H2" s="400"/>
    </row>
    <row r="3" spans="1:9" s="2" customFormat="1" ht="28" customHeight="1" thickBot="1">
      <c r="A3" s="1662" t="s">
        <v>224</v>
      </c>
      <c r="B3" s="1663"/>
      <c r="C3" s="1663"/>
      <c r="D3" s="1663"/>
      <c r="E3" s="1663"/>
      <c r="F3" s="1663"/>
      <c r="G3" s="1664"/>
      <c r="H3" s="401"/>
    </row>
    <row r="4" spans="1:9" ht="12" customHeight="1" thickBot="1">
      <c r="A4" s="1762"/>
      <c r="B4" s="1762"/>
      <c r="C4" s="1762"/>
      <c r="D4" s="1762"/>
      <c r="E4" s="1762"/>
      <c r="F4" s="1762"/>
      <c r="G4" s="1762"/>
    </row>
    <row r="5" spans="1:9" ht="19" thickBot="1">
      <c r="A5" s="460" t="s">
        <v>151</v>
      </c>
      <c r="B5" s="461"/>
      <c r="C5" s="461"/>
      <c r="D5" s="461"/>
      <c r="E5" s="461"/>
      <c r="F5" s="402"/>
      <c r="G5" s="462"/>
    </row>
    <row r="6" spans="1:9" ht="30" customHeight="1">
      <c r="A6" s="1166" t="s">
        <v>138</v>
      </c>
      <c r="B6" s="1166" t="s">
        <v>94</v>
      </c>
      <c r="C6" s="405" t="s">
        <v>100</v>
      </c>
      <c r="D6" s="406" t="s">
        <v>100</v>
      </c>
      <c r="E6" s="406" t="s">
        <v>101</v>
      </c>
      <c r="F6" s="324" t="s">
        <v>139</v>
      </c>
    </row>
    <row r="7" spans="1:9" ht="15" customHeight="1" thickBot="1">
      <c r="A7" s="1165"/>
      <c r="B7" s="1165"/>
      <c r="C7" s="347">
        <v>40999</v>
      </c>
      <c r="D7" s="322">
        <f>'Løntabel gældende fra'!C7</f>
        <v>45200</v>
      </c>
      <c r="E7" s="322">
        <f>'Løntabel gældende fra'!C7</f>
        <v>45200</v>
      </c>
      <c r="F7" s="398" t="s">
        <v>140</v>
      </c>
    </row>
    <row r="8" spans="1:9" ht="16" customHeight="1">
      <c r="A8" s="89">
        <v>1</v>
      </c>
      <c r="B8" s="89" t="s">
        <v>141</v>
      </c>
      <c r="C8" s="350">
        <f>12*22670</f>
        <v>272040</v>
      </c>
      <c r="D8" s="220">
        <f>C8+(C8*'Løntabel gældende fra'!$D$7%)</f>
        <v>315347.95188000001</v>
      </c>
      <c r="E8" s="362">
        <f>D8/12</f>
        <v>26278.995989999999</v>
      </c>
      <c r="F8" s="452">
        <f>(E8*12)/1672*1</f>
        <v>188.60523437799043</v>
      </c>
    </row>
    <row r="9" spans="1:9" ht="16" customHeight="1">
      <c r="A9" s="90">
        <v>2</v>
      </c>
      <c r="B9" s="90" t="s">
        <v>149</v>
      </c>
      <c r="C9" s="353">
        <f>25300*12</f>
        <v>303600</v>
      </c>
      <c r="D9" s="181">
        <f>C9+(C9*'Løntabel gældende fra'!$D$7%)</f>
        <v>351932.20919999998</v>
      </c>
      <c r="E9" s="275">
        <f>D9/12</f>
        <v>29327.684099999999</v>
      </c>
      <c r="F9" s="454">
        <f>(E9*12)/1672*1</f>
        <v>210.48577105263158</v>
      </c>
    </row>
    <row r="10" spans="1:9" ht="16" customHeight="1">
      <c r="A10" s="215">
        <v>3</v>
      </c>
      <c r="B10" s="455" t="s">
        <v>142</v>
      </c>
      <c r="C10" s="456">
        <f>27920*12</f>
        <v>335040</v>
      </c>
      <c r="D10" s="181">
        <f>C10+(C10*'Løntabel gældende fra'!$D$7%)</f>
        <v>388377.36288000003</v>
      </c>
      <c r="E10" s="275">
        <f>D10/12</f>
        <v>32364.780240000004</v>
      </c>
      <c r="F10" s="454">
        <f>(E10*12)/1672*1</f>
        <v>232.28311177033495</v>
      </c>
    </row>
    <row r="11" spans="1:9" ht="16" customHeight="1" thickBot="1">
      <c r="A11" s="216">
        <v>4</v>
      </c>
      <c r="B11" s="457" t="s">
        <v>150</v>
      </c>
      <c r="C11" s="458">
        <f>29200*12</f>
        <v>350400</v>
      </c>
      <c r="D11" s="161">
        <f>C11+(C11*'Løntabel gældende fra'!$D$7%)</f>
        <v>406182.62880000001</v>
      </c>
      <c r="E11" s="364">
        <f>D11/12</f>
        <v>33848.5524</v>
      </c>
      <c r="F11" s="453">
        <f>(E11*12)/1672*1</f>
        <v>242.93219425837322</v>
      </c>
    </row>
    <row r="12" spans="1:9" ht="11" customHeight="1" thickBot="1"/>
    <row r="13" spans="1:9" ht="19" thickBot="1">
      <c r="A13" s="1207" t="s">
        <v>152</v>
      </c>
      <c r="B13" s="1208"/>
      <c r="C13" s="1208"/>
      <c r="D13" s="1208"/>
      <c r="E13" s="1209"/>
      <c r="F13" s="206"/>
    </row>
    <row r="14" spans="1:9" ht="30" customHeight="1">
      <c r="A14" s="1166" t="s">
        <v>138</v>
      </c>
      <c r="B14" s="405" t="s">
        <v>100</v>
      </c>
      <c r="C14" s="406" t="s">
        <v>100</v>
      </c>
      <c r="D14" s="406" t="s">
        <v>101</v>
      </c>
      <c r="E14" s="324" t="s">
        <v>139</v>
      </c>
      <c r="F14" s="40"/>
    </row>
    <row r="15" spans="1:9" ht="17" customHeight="1" thickBot="1">
      <c r="A15" s="1165"/>
      <c r="B15" s="347">
        <v>40999</v>
      </c>
      <c r="C15" s="322">
        <f>'Løntabel gældende fra'!C7</f>
        <v>45200</v>
      </c>
      <c r="D15" s="322">
        <f>'Løntabel gældende fra'!C7</f>
        <v>45200</v>
      </c>
      <c r="E15" s="398" t="s">
        <v>140</v>
      </c>
      <c r="F15" s="40"/>
    </row>
    <row r="16" spans="1:9" ht="16" customHeight="1">
      <c r="A16" s="89" t="s">
        <v>143</v>
      </c>
      <c r="B16" s="350">
        <f>12*13140</f>
        <v>157680</v>
      </c>
      <c r="C16" s="220">
        <f>B16+(B16*'Løntabel gældende fra'!$D$7%)</f>
        <v>182782.18296000001</v>
      </c>
      <c r="D16" s="362">
        <f>C16/12</f>
        <v>15231.84858</v>
      </c>
      <c r="E16" s="452">
        <f>(D16*12)/1672*1</f>
        <v>109.31948741626795</v>
      </c>
      <c r="F16" s="219"/>
    </row>
    <row r="17" spans="1:8" ht="16" customHeight="1" thickBot="1">
      <c r="A17" s="91" t="s">
        <v>144</v>
      </c>
      <c r="B17" s="351">
        <f>12*13800</f>
        <v>165600</v>
      </c>
      <c r="C17" s="161">
        <f>B17+(B17*'Løntabel gældende fra'!$D$7%)</f>
        <v>191963.0232</v>
      </c>
      <c r="D17" s="364">
        <f>C17/12</f>
        <v>15996.918599999999</v>
      </c>
      <c r="E17" s="453">
        <f>(D17*12)/1672*1</f>
        <v>114.81042057416268</v>
      </c>
      <c r="F17" s="219"/>
    </row>
    <row r="18" spans="1:8" ht="13" customHeight="1" thickBot="1"/>
    <row r="19" spans="1:8" ht="19" thickBot="1">
      <c r="A19" s="1207" t="s">
        <v>153</v>
      </c>
      <c r="B19" s="1208"/>
      <c r="C19" s="1208"/>
      <c r="D19" s="1208"/>
      <c r="E19" s="1209"/>
    </row>
    <row r="20" spans="1:8" ht="30" customHeight="1">
      <c r="A20" s="327" t="s">
        <v>138</v>
      </c>
      <c r="B20" s="405" t="s">
        <v>100</v>
      </c>
      <c r="C20" s="406" t="s">
        <v>100</v>
      </c>
      <c r="D20" s="406" t="s">
        <v>101</v>
      </c>
      <c r="E20" s="324" t="s">
        <v>139</v>
      </c>
    </row>
    <row r="21" spans="1:8" ht="16" customHeight="1" thickBot="1">
      <c r="A21" s="349"/>
      <c r="B21" s="347">
        <v>40999</v>
      </c>
      <c r="C21" s="322">
        <f>'Løntabel gældende fra'!C7</f>
        <v>45200</v>
      </c>
      <c r="D21" s="322">
        <f>'Løntabel gældende fra'!C7</f>
        <v>45200</v>
      </c>
      <c r="E21" s="398" t="s">
        <v>140</v>
      </c>
    </row>
    <row r="22" spans="1:8" ht="16" customHeight="1" thickBot="1">
      <c r="A22" s="217" t="s">
        <v>143</v>
      </c>
      <c r="B22" s="365">
        <f>12*18700</f>
        <v>224400</v>
      </c>
      <c r="C22" s="221">
        <f>B22+(B22*'Løntabel gældende fra'!$D$7%)</f>
        <v>260123.80679999999</v>
      </c>
      <c r="D22" s="222">
        <f>C22/12</f>
        <v>21676.983899999999</v>
      </c>
      <c r="E22" s="459">
        <f>(D22*12)/1672*1</f>
        <v>155.57643947368422</v>
      </c>
      <c r="F22" s="213"/>
      <c r="G22" s="213"/>
    </row>
    <row r="23" spans="1:8" s="254" customFormat="1" ht="12" customHeight="1" thickBot="1">
      <c r="A23" s="40"/>
      <c r="B23" s="262"/>
      <c r="C23" s="262"/>
      <c r="D23" s="262"/>
      <c r="E23" s="218"/>
      <c r="F23" s="399"/>
      <c r="G23" s="399"/>
    </row>
    <row r="24" spans="1:8" ht="19" thickBot="1">
      <c r="A24" s="1207" t="s">
        <v>155</v>
      </c>
      <c r="B24" s="1208"/>
      <c r="C24" s="1208"/>
      <c r="D24" s="1208"/>
      <c r="E24" s="1209"/>
      <c r="F24" s="206"/>
      <c r="G24" s="206"/>
      <c r="H24" s="206"/>
    </row>
    <row r="25" spans="1:8" ht="31" customHeight="1" thickBot="1">
      <c r="A25" s="1108" t="s">
        <v>138</v>
      </c>
      <c r="B25" s="1166" t="s">
        <v>20</v>
      </c>
      <c r="C25" s="407" t="s">
        <v>232</v>
      </c>
      <c r="D25" s="408">
        <v>0.17299999999999999</v>
      </c>
      <c r="E25" s="415"/>
      <c r="F25" s="409"/>
      <c r="G25" s="412"/>
      <c r="H25" s="413"/>
    </row>
    <row r="26" spans="1:8" ht="45" customHeight="1" thickBot="1">
      <c r="A26" s="1114"/>
      <c r="B26" s="1165"/>
      <c r="C26" s="205" t="s">
        <v>21</v>
      </c>
      <c r="D26" s="411" t="s">
        <v>233</v>
      </c>
      <c r="E26" s="406" t="s">
        <v>22</v>
      </c>
      <c r="F26" s="1757"/>
      <c r="G26" s="1757"/>
      <c r="H26" s="414"/>
    </row>
    <row r="27" spans="1:8" ht="16" customHeight="1">
      <c r="A27" s="355">
        <v>1</v>
      </c>
      <c r="B27" s="160">
        <f>E8</f>
        <v>26278.995989999999</v>
      </c>
      <c r="C27" s="160">
        <f>E27*1/3</f>
        <v>1515.4221020899997</v>
      </c>
      <c r="D27" s="346">
        <f>E27*2/3</f>
        <v>3030.8442041799995</v>
      </c>
      <c r="E27" s="160">
        <f>B27*$D$25</f>
        <v>4546.2663062699994</v>
      </c>
      <c r="F27" s="409"/>
      <c r="G27" s="410"/>
      <c r="H27" s="254"/>
    </row>
    <row r="28" spans="1:8" ht="16" customHeight="1">
      <c r="A28" s="416">
        <v>2</v>
      </c>
      <c r="B28" s="181">
        <f>E9</f>
        <v>29327.684099999999</v>
      </c>
      <c r="C28" s="181">
        <f>E28*1/3</f>
        <v>1691.2297830999998</v>
      </c>
      <c r="D28" s="353">
        <f>E28*2/3</f>
        <v>3382.4595661999997</v>
      </c>
      <c r="E28" s="181">
        <f>B28*$D$25</f>
        <v>5073.6893492999998</v>
      </c>
      <c r="F28" s="409"/>
      <c r="G28" s="410"/>
      <c r="H28" s="254"/>
    </row>
    <row r="29" spans="1:8" ht="16" customHeight="1">
      <c r="A29" s="416">
        <v>3</v>
      </c>
      <c r="B29" s="181">
        <f>E10</f>
        <v>32364.780240000004</v>
      </c>
      <c r="C29" s="181">
        <f>E29*1/3</f>
        <v>1866.36899384</v>
      </c>
      <c r="D29" s="353">
        <f>E29*2/3</f>
        <v>3732.7379876800001</v>
      </c>
      <c r="E29" s="181">
        <f>B29*$D$25</f>
        <v>5599.1069815199999</v>
      </c>
      <c r="F29" s="409"/>
      <c r="G29" s="410"/>
      <c r="H29" s="254"/>
    </row>
    <row r="30" spans="1:8" ht="16" customHeight="1" thickBot="1">
      <c r="A30" s="357">
        <v>4</v>
      </c>
      <c r="B30" s="161">
        <f>E11</f>
        <v>33848.5524</v>
      </c>
      <c r="C30" s="161">
        <f>E30*1/3</f>
        <v>1951.9331884000001</v>
      </c>
      <c r="D30" s="351">
        <f>E30*2/3</f>
        <v>3903.8663768000001</v>
      </c>
      <c r="E30" s="161">
        <f>B30*$D$25</f>
        <v>5855.7995652</v>
      </c>
      <c r="F30" s="409"/>
      <c r="G30" s="410"/>
      <c r="H30" s="254"/>
    </row>
    <row r="31" spans="1:8" ht="12" customHeight="1" thickBot="1">
      <c r="A31" s="40"/>
      <c r="B31" s="223"/>
      <c r="C31" s="223"/>
      <c r="D31" s="223"/>
      <c r="E31" s="218"/>
      <c r="F31" s="213"/>
      <c r="G31" s="213"/>
    </row>
    <row r="32" spans="1:8" ht="26.25" customHeight="1" thickBot="1">
      <c r="A32" s="1758" t="s">
        <v>156</v>
      </c>
      <c r="B32" s="1759"/>
      <c r="C32" s="1759"/>
      <c r="D32" s="1759"/>
      <c r="E32" s="1760"/>
      <c r="F32" s="106" t="s">
        <v>92</v>
      </c>
      <c r="G32" s="213"/>
    </row>
    <row r="33" spans="1:8" ht="29" customHeight="1" thickBot="1">
      <c r="A33" s="1272" t="s">
        <v>154</v>
      </c>
      <c r="B33" s="1273"/>
      <c r="C33" s="1273"/>
      <c r="D33" s="1273"/>
      <c r="E33" s="1761"/>
      <c r="F33" s="451">
        <v>160</v>
      </c>
      <c r="G33" s="213"/>
    </row>
    <row r="34" spans="1:8" ht="4.5" customHeight="1">
      <c r="A34" s="403"/>
      <c r="B34" s="403"/>
      <c r="C34" s="403"/>
      <c r="D34" s="403"/>
      <c r="E34" s="403"/>
      <c r="F34" s="404"/>
      <c r="G34" s="213"/>
    </row>
    <row r="35" spans="1:8" s="238" customFormat="1" ht="28" customHeight="1">
      <c r="A35" s="1754" t="s">
        <v>145</v>
      </c>
      <c r="B35" s="1754"/>
      <c r="C35" s="1754"/>
      <c r="D35" s="1754"/>
      <c r="E35" s="1754"/>
      <c r="F35" s="1754"/>
      <c r="G35" s="1754"/>
    </row>
    <row r="36" spans="1:8" s="238" customFormat="1" ht="30" customHeight="1">
      <c r="A36" s="1755" t="s">
        <v>146</v>
      </c>
      <c r="B36" s="1755"/>
      <c r="C36" s="1755"/>
      <c r="D36" s="1755"/>
      <c r="E36" s="1755"/>
      <c r="F36" s="1755"/>
      <c r="G36" s="1755"/>
      <c r="H36" s="417"/>
    </row>
    <row r="37" spans="1:8" s="238" customFormat="1" ht="32.25" customHeight="1">
      <c r="A37" s="1756" t="s">
        <v>147</v>
      </c>
      <c r="B37" s="1756"/>
      <c r="C37" s="1756"/>
      <c r="D37" s="1756"/>
      <c r="E37" s="1756"/>
      <c r="F37" s="1756"/>
      <c r="G37" s="1756"/>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A30" sqref="A30:J30"/>
    </sheetView>
  </sheetViews>
  <sheetFormatPr baseColWidth="10" defaultColWidth="8.83203125" defaultRowHeight="13"/>
  <cols>
    <col min="1" max="1" width="9" style="212" customWidth="1"/>
    <col min="2" max="2" width="11.6640625" style="212" customWidth="1"/>
    <col min="3" max="3" width="11.1640625" style="212" customWidth="1"/>
    <col min="4" max="4" width="11.33203125" style="212" customWidth="1"/>
    <col min="5" max="6" width="10.6640625" style="212" customWidth="1"/>
    <col min="7" max="7" width="11.33203125" style="212" customWidth="1"/>
    <col min="8" max="8" width="11.1640625" style="212" customWidth="1"/>
    <col min="9" max="9" width="11.33203125" style="212" customWidth="1"/>
    <col min="10" max="10" width="10.5" style="212" customWidth="1"/>
    <col min="11" max="16384" width="8.83203125" style="212"/>
  </cols>
  <sheetData>
    <row r="1" spans="1:16" ht="20">
      <c r="A1" s="1185" t="s">
        <v>19</v>
      </c>
      <c r="B1" s="1186"/>
      <c r="C1" s="1186"/>
      <c r="D1" s="1186"/>
      <c r="E1" s="1186"/>
      <c r="F1" s="1186"/>
      <c r="G1" s="1186"/>
      <c r="H1" s="1186"/>
      <c r="I1" s="1186"/>
      <c r="J1" s="1187"/>
    </row>
    <row r="2" spans="1:16" ht="38" customHeight="1">
      <c r="A2" s="1728" t="s">
        <v>190</v>
      </c>
      <c r="B2" s="1729"/>
      <c r="C2" s="1729"/>
      <c r="D2" s="1729"/>
      <c r="E2" s="1729"/>
      <c r="F2" s="1729"/>
      <c r="G2" s="1729"/>
      <c r="H2" s="1729"/>
      <c r="I2" s="1729"/>
      <c r="J2" s="1730"/>
    </row>
    <row r="3" spans="1:16" ht="20">
      <c r="A3" s="1196" t="str">
        <f>'Forside 1'!A6:I6</f>
        <v>Gældende fra 1. oktober 2023</v>
      </c>
      <c r="B3" s="1197"/>
      <c r="C3" s="1197"/>
      <c r="D3" s="1197"/>
      <c r="E3" s="1197"/>
      <c r="F3" s="1197"/>
      <c r="G3" s="1197"/>
      <c r="H3" s="1197"/>
      <c r="I3" s="1197"/>
      <c r="J3" s="1198"/>
    </row>
    <row r="4" spans="1:16" ht="17" customHeight="1">
      <c r="A4" s="1783" t="s">
        <v>487</v>
      </c>
      <c r="B4" s="1784"/>
      <c r="C4" s="1784"/>
      <c r="D4" s="1784"/>
      <c r="E4" s="1784"/>
      <c r="F4" s="1784"/>
      <c r="G4" s="1784"/>
      <c r="H4" s="1784"/>
      <c r="I4" s="1784"/>
      <c r="J4" s="1785"/>
    </row>
    <row r="5" spans="1:16" ht="8" customHeight="1">
      <c r="A5" s="1783" t="s">
        <v>486</v>
      </c>
      <c r="B5" s="1784"/>
      <c r="C5" s="1784"/>
      <c r="D5" s="1784"/>
      <c r="E5" s="1784"/>
      <c r="F5" s="1784"/>
      <c r="G5" s="1784"/>
      <c r="H5" s="1784"/>
      <c r="I5" s="1784"/>
      <c r="J5" s="1785"/>
      <c r="L5" s="239"/>
      <c r="M5" s="238"/>
      <c r="N5" s="238"/>
      <c r="O5" s="238"/>
      <c r="P5" s="238"/>
    </row>
    <row r="6" spans="1:16" ht="7" customHeight="1" thickBot="1">
      <c r="A6" s="1786"/>
      <c r="B6" s="1787"/>
      <c r="C6" s="1787"/>
      <c r="D6" s="1787"/>
      <c r="E6" s="1787"/>
      <c r="F6" s="1787"/>
      <c r="G6" s="1787"/>
      <c r="H6" s="1787"/>
      <c r="I6" s="1787"/>
      <c r="J6" s="1788"/>
      <c r="L6" s="239"/>
      <c r="M6" s="238"/>
      <c r="N6" s="238"/>
      <c r="O6" s="238"/>
      <c r="P6" s="238"/>
    </row>
    <row r="7" spans="1:16" s="254" customFormat="1" ht="18" customHeight="1" thickBot="1">
      <c r="A7" s="536"/>
      <c r="B7" s="536"/>
      <c r="C7" s="536"/>
      <c r="D7" s="536"/>
      <c r="E7" s="536"/>
      <c r="F7" s="536"/>
      <c r="G7" s="537"/>
      <c r="H7" s="537"/>
      <c r="I7" s="537"/>
      <c r="J7" s="537"/>
      <c r="L7" s="538"/>
      <c r="M7" s="264"/>
      <c r="N7" s="264"/>
      <c r="O7" s="264"/>
      <c r="P7" s="264"/>
    </row>
    <row r="8" spans="1:16" ht="21" customHeight="1" thickBot="1">
      <c r="A8" s="1731" t="s">
        <v>481</v>
      </c>
      <c r="B8" s="1732"/>
      <c r="C8" s="1732"/>
      <c r="D8" s="1732"/>
      <c r="E8" s="1732"/>
      <c r="F8" s="1733"/>
      <c r="G8" s="1702" t="s">
        <v>168</v>
      </c>
      <c r="H8" s="1703"/>
      <c r="I8" s="1703"/>
      <c r="J8" s="1704"/>
      <c r="L8" s="239"/>
      <c r="M8" s="238"/>
      <c r="N8" s="238"/>
      <c r="O8" s="238"/>
      <c r="P8" s="238"/>
    </row>
    <row r="9" spans="1:16" ht="42">
      <c r="A9" s="444" t="s">
        <v>57</v>
      </c>
      <c r="B9" s="444" t="s">
        <v>75</v>
      </c>
      <c r="C9" s="447" t="s">
        <v>76</v>
      </c>
      <c r="D9" s="444" t="s">
        <v>77</v>
      </c>
      <c r="E9" s="444" t="s">
        <v>78</v>
      </c>
      <c r="F9" s="444" t="s">
        <v>79</v>
      </c>
      <c r="G9" s="448" t="s">
        <v>185</v>
      </c>
      <c r="H9" s="449" t="s">
        <v>187</v>
      </c>
      <c r="I9" s="449" t="s">
        <v>188</v>
      </c>
      <c r="J9" s="450">
        <v>0.14499999999999999</v>
      </c>
    </row>
    <row r="10" spans="1:16" ht="16" customHeight="1">
      <c r="A10" s="290">
        <v>14</v>
      </c>
      <c r="B10" s="602">
        <f>'Statens skalatrin'!D46</f>
        <v>21987.17</v>
      </c>
      <c r="C10" s="602">
        <f>'Statens skalatrin'!F46</f>
        <v>22445.08</v>
      </c>
      <c r="D10" s="602">
        <f>'Statens skalatrin'!H46</f>
        <v>22762</v>
      </c>
      <c r="E10" s="602">
        <f>'Statens skalatrin'!J46</f>
        <v>23219.75</v>
      </c>
      <c r="F10" s="602">
        <f>'Statens skalatrin'!L46</f>
        <v>23536.75</v>
      </c>
      <c r="G10" s="1763">
        <f>'Statens skalatrin'!O46</f>
        <v>20557.32</v>
      </c>
      <c r="H10" s="1763">
        <f>ROUND(J10*1/3,2)</f>
        <v>993.6</v>
      </c>
      <c r="I10" s="1763">
        <f>ROUND(J10*2/3,2)</f>
        <v>1987.21</v>
      </c>
      <c r="J10" s="1763">
        <f>ROUND(G10*$J$9,2)</f>
        <v>2980.81</v>
      </c>
    </row>
    <row r="11" spans="1:16" ht="16" customHeight="1">
      <c r="A11" s="361" t="s">
        <v>230</v>
      </c>
      <c r="B11" s="470">
        <f>B10+($F$20/12)</f>
        <v>22176.215833333332</v>
      </c>
      <c r="C11" s="470">
        <f t="shared" ref="C11:F11" si="0">C10+($F$20/12)</f>
        <v>22634.125833333335</v>
      </c>
      <c r="D11" s="470">
        <f t="shared" si="0"/>
        <v>22951.045833333334</v>
      </c>
      <c r="E11" s="470">
        <f t="shared" si="0"/>
        <v>23408.795833333334</v>
      </c>
      <c r="F11" s="470">
        <f t="shared" si="0"/>
        <v>23725.795833333334</v>
      </c>
      <c r="G11" s="1789"/>
      <c r="H11" s="1789"/>
      <c r="I11" s="1789"/>
      <c r="J11" s="1789"/>
    </row>
    <row r="12" spans="1:16" ht="16" customHeight="1">
      <c r="A12" s="290">
        <v>17</v>
      </c>
      <c r="B12" s="470">
        <f>'Statens skalatrin'!D55</f>
        <v>23087.83</v>
      </c>
      <c r="C12" s="470">
        <f>'Statens skalatrin'!F55</f>
        <v>23581.33</v>
      </c>
      <c r="D12" s="603">
        <f>'Statens skalatrin'!H55</f>
        <v>23923</v>
      </c>
      <c r="E12" s="470">
        <f>'Statens skalatrin'!J55</f>
        <v>24416.42</v>
      </c>
      <c r="F12" s="470">
        <f>'Statens skalatrin'!L55</f>
        <v>24757.919999999998</v>
      </c>
      <c r="G12" s="967">
        <f>'Statens skalatrin'!O55</f>
        <v>21684.14</v>
      </c>
      <c r="H12" s="966">
        <f>ROUND(J12*1/3,2)</f>
        <v>1048.07</v>
      </c>
      <c r="I12" s="966">
        <f>ROUND(J12*2/3,2)</f>
        <v>2096.13</v>
      </c>
      <c r="J12" s="966">
        <f>ROUND(G12*$J$9,2)</f>
        <v>3144.2</v>
      </c>
    </row>
    <row r="13" spans="1:16" ht="16" customHeight="1">
      <c r="A13" s="965">
        <v>21</v>
      </c>
      <c r="B13" s="603">
        <f>'Statens skalatrin'!D67</f>
        <v>24554.92</v>
      </c>
      <c r="C13" s="603">
        <f>'Statens skalatrin'!F67</f>
        <v>25100.58</v>
      </c>
      <c r="D13" s="603">
        <f>'Statens skalatrin'!H67</f>
        <v>25478.42</v>
      </c>
      <c r="E13" s="603">
        <f>'Statens skalatrin'!J67</f>
        <v>26024.080000000002</v>
      </c>
      <c r="F13" s="603">
        <f>'Statens skalatrin'!L67</f>
        <v>26401.83</v>
      </c>
      <c r="G13" s="1763">
        <f>'Statens skalatrin'!O67</f>
        <v>23336.89</v>
      </c>
      <c r="H13" s="1763">
        <f>ROUND(J13*1/3,2)</f>
        <v>1127.95</v>
      </c>
      <c r="I13" s="1763">
        <f>ROUND(J13*2/3,2)</f>
        <v>2255.9</v>
      </c>
      <c r="J13" s="1763">
        <f>ROUND(G13*$J$9,2)</f>
        <v>3383.85</v>
      </c>
    </row>
    <row r="14" spans="1:16" ht="16" customHeight="1" thickBot="1">
      <c r="A14" s="976" t="s">
        <v>518</v>
      </c>
      <c r="B14" s="604">
        <f>B13+($F$21/12)</f>
        <v>24748.119166666664</v>
      </c>
      <c r="C14" s="604">
        <f>C13+($F$21/12)</f>
        <v>25293.779166666667</v>
      </c>
      <c r="D14" s="604">
        <f>D13+($F$21/12)</f>
        <v>25671.619166666664</v>
      </c>
      <c r="E14" s="604">
        <f>E13+($F$21/12)</f>
        <v>26217.279166666667</v>
      </c>
      <c r="F14" s="604">
        <f>F13+($F$21/12)</f>
        <v>26595.029166666667</v>
      </c>
      <c r="G14" s="1764"/>
      <c r="H14" s="1764"/>
      <c r="I14" s="1764"/>
      <c r="J14" s="1764"/>
    </row>
    <row r="15" spans="1:16" ht="17" customHeight="1" thickBot="1">
      <c r="A15" s="238"/>
      <c r="B15" s="232"/>
      <c r="C15" s="232"/>
      <c r="D15" s="232"/>
      <c r="E15" s="232"/>
      <c r="F15" s="232"/>
      <c r="G15" s="255"/>
      <c r="H15" s="256"/>
      <c r="I15" s="257"/>
      <c r="J15" s="257"/>
    </row>
    <row r="16" spans="1:16" ht="21" customHeight="1">
      <c r="A16" s="1079" t="s">
        <v>163</v>
      </c>
      <c r="B16" s="1080"/>
      <c r="C16" s="1080"/>
      <c r="D16" s="1080"/>
      <c r="E16" s="1080"/>
      <c r="F16" s="1081"/>
      <c r="G16" s="206"/>
      <c r="H16" s="206"/>
      <c r="I16" s="206"/>
      <c r="J16" s="228"/>
    </row>
    <row r="17" spans="1:10" ht="21" customHeight="1" thickBot="1">
      <c r="A17" s="1170" t="s">
        <v>482</v>
      </c>
      <c r="B17" s="1171"/>
      <c r="C17" s="1171"/>
      <c r="D17" s="1171"/>
      <c r="E17" s="1171"/>
      <c r="F17" s="1172"/>
      <c r="G17" s="206"/>
      <c r="H17" s="206"/>
      <c r="I17" s="206"/>
      <c r="J17" s="228"/>
    </row>
    <row r="18" spans="1:10" ht="27" customHeight="1">
      <c r="A18" s="1765" t="s">
        <v>517</v>
      </c>
      <c r="B18" s="1766"/>
      <c r="C18" s="1766"/>
      <c r="D18" s="1766"/>
      <c r="E18" s="930" t="s">
        <v>131</v>
      </c>
      <c r="F18" s="931" t="s">
        <v>340</v>
      </c>
      <c r="G18" s="249"/>
      <c r="H18" s="238"/>
      <c r="I18" s="238"/>
      <c r="J18" s="228"/>
    </row>
    <row r="19" spans="1:10" ht="15" customHeight="1">
      <c r="A19" s="1738"/>
      <c r="B19" s="1739"/>
      <c r="C19" s="1739"/>
      <c r="D19" s="1739"/>
      <c r="E19" s="539">
        <v>40999</v>
      </c>
      <c r="F19" s="947" t="str">
        <f>'Løntabel gældende fra'!D1</f>
        <v>01/10/23</v>
      </c>
      <c r="G19" s="249"/>
      <c r="H19" s="238"/>
      <c r="I19" s="238"/>
      <c r="J19" s="228"/>
    </row>
    <row r="20" spans="1:10" ht="15" customHeight="1">
      <c r="A20" s="1724" t="s">
        <v>515</v>
      </c>
      <c r="B20" s="1725"/>
      <c r="C20" s="1725"/>
      <c r="D20" s="1769"/>
      <c r="E20" s="963">
        <v>1957</v>
      </c>
      <c r="F20" s="964">
        <f>ROUND(E20+(E20*'Løntabel gældende fra'!$D$7%),2)</f>
        <v>2268.5500000000002</v>
      </c>
      <c r="G20" s="249"/>
      <c r="H20" s="238"/>
      <c r="I20" s="238"/>
      <c r="J20" s="228"/>
    </row>
    <row r="21" spans="1:10" ht="16" customHeight="1" thickBot="1">
      <c r="A21" s="1250" t="s">
        <v>516</v>
      </c>
      <c r="B21" s="1251"/>
      <c r="C21" s="1251"/>
      <c r="D21" s="1252"/>
      <c r="E21" s="961">
        <v>2000</v>
      </c>
      <c r="F21" s="962">
        <f>ROUND(E21+(E21*'Løntabel gældende fra'!$D$7%),2)</f>
        <v>2318.39</v>
      </c>
      <c r="G21" s="249"/>
      <c r="H21" s="238"/>
      <c r="I21" s="238"/>
      <c r="J21" s="228"/>
    </row>
    <row r="22" spans="1:10" ht="16" customHeight="1" thickBot="1">
      <c r="A22" s="1767"/>
      <c r="B22" s="1768"/>
      <c r="C22" s="1768"/>
      <c r="D22" s="1768"/>
      <c r="E22" s="1768"/>
      <c r="F22" s="1768"/>
      <c r="G22" s="1768"/>
      <c r="H22" s="1768"/>
      <c r="I22" s="1768"/>
      <c r="J22" s="1768"/>
    </row>
    <row r="23" spans="1:10" s="228" customFormat="1" ht="27" customHeight="1">
      <c r="A23" s="1153" t="s">
        <v>192</v>
      </c>
      <c r="B23" s="1154"/>
      <c r="C23" s="1154"/>
      <c r="D23" s="1154"/>
      <c r="E23" s="1154"/>
      <c r="F23" s="1154"/>
      <c r="G23" s="1155"/>
    </row>
    <row r="24" spans="1:10" s="228" customFormat="1" ht="16" customHeight="1" thickBot="1">
      <c r="A24" s="1119" t="s">
        <v>312</v>
      </c>
      <c r="B24" s="1120"/>
      <c r="C24" s="1120"/>
      <c r="D24" s="1120"/>
      <c r="E24" s="1120"/>
      <c r="F24" s="1120"/>
      <c r="G24" s="1121"/>
    </row>
    <row r="25" spans="1:10" s="228" customFormat="1" ht="16">
      <c r="A25" s="1653"/>
      <c r="B25" s="1654"/>
      <c r="C25" s="1655"/>
      <c r="D25" s="1661" t="s">
        <v>341</v>
      </c>
      <c r="E25" s="1661"/>
      <c r="F25" s="1659" t="s">
        <v>342</v>
      </c>
      <c r="G25" s="1660"/>
    </row>
    <row r="26" spans="1:10" s="228" customFormat="1" ht="13" customHeight="1" thickBot="1">
      <c r="A26" s="1656"/>
      <c r="B26" s="1657"/>
      <c r="C26" s="1658"/>
      <c r="D26" s="1705">
        <v>40999</v>
      </c>
      <c r="E26" s="1706"/>
      <c r="F26" s="1700" t="str">
        <f>'Løntabel gældende fra'!$D$1</f>
        <v>01/10/23</v>
      </c>
      <c r="G26" s="1701"/>
    </row>
    <row r="27" spans="1:10" s="228" customFormat="1" ht="16" customHeight="1" thickBot="1">
      <c r="A27" s="1790" t="s">
        <v>162</v>
      </c>
      <c r="B27" s="1791"/>
      <c r="C27" s="1792"/>
      <c r="D27" s="1793">
        <v>148</v>
      </c>
      <c r="E27" s="1794"/>
      <c r="F27" s="1795">
        <f>ROUND(+D27*(1+'Løntabel gældende fra'!$D$7/100),2)</f>
        <v>171.56</v>
      </c>
      <c r="G27" s="1794"/>
    </row>
    <row r="28" spans="1:10" ht="15" customHeight="1" thickBot="1">
      <c r="A28" s="247"/>
      <c r="B28" s="246"/>
      <c r="C28" s="246"/>
      <c r="D28" s="246"/>
      <c r="E28" s="246"/>
      <c r="F28" s="246"/>
      <c r="G28" s="238"/>
      <c r="H28" s="237"/>
      <c r="I28" s="237"/>
      <c r="J28" s="228"/>
    </row>
    <row r="29" spans="1:10" s="228" customFormat="1" ht="27" customHeight="1">
      <c r="A29" s="1153" t="s">
        <v>499</v>
      </c>
      <c r="B29" s="1154"/>
      <c r="C29" s="1154"/>
      <c r="D29" s="1154"/>
      <c r="E29" s="1154"/>
      <c r="F29" s="1154"/>
      <c r="G29" s="1155"/>
    </row>
    <row r="30" spans="1:10" s="228" customFormat="1" ht="16" customHeight="1" thickBot="1">
      <c r="A30" s="1119" t="s">
        <v>312</v>
      </c>
      <c r="B30" s="1120"/>
      <c r="C30" s="1120"/>
      <c r="D30" s="1120"/>
      <c r="E30" s="1120"/>
      <c r="F30" s="1120"/>
      <c r="G30" s="1121"/>
    </row>
    <row r="31" spans="1:10" s="228" customFormat="1" ht="16">
      <c r="A31" s="1653"/>
      <c r="B31" s="1654"/>
      <c r="C31" s="1655"/>
      <c r="D31" s="1661" t="s">
        <v>341</v>
      </c>
      <c r="E31" s="1661"/>
      <c r="F31" s="1659" t="s">
        <v>342</v>
      </c>
      <c r="G31" s="1660"/>
    </row>
    <row r="32" spans="1:10" s="228" customFormat="1" ht="13" customHeight="1" thickBot="1">
      <c r="A32" s="1656"/>
      <c r="B32" s="1657"/>
      <c r="C32" s="1658"/>
      <c r="D32" s="1705">
        <v>40999</v>
      </c>
      <c r="E32" s="1706"/>
      <c r="F32" s="1700" t="str">
        <f>'Løntabel gældende fra'!$D$1</f>
        <v>01/10/23</v>
      </c>
      <c r="G32" s="1701"/>
    </row>
    <row r="33" spans="1:10" s="228" customFormat="1" ht="16" customHeight="1">
      <c r="A33" s="1798" t="s">
        <v>158</v>
      </c>
      <c r="B33" s="1799"/>
      <c r="C33" s="1800"/>
      <c r="D33" s="1801">
        <f>D27*66%</f>
        <v>97.68</v>
      </c>
      <c r="E33" s="1802"/>
      <c r="F33" s="1801">
        <f>F27*66%</f>
        <v>113.2296</v>
      </c>
      <c r="G33" s="1802"/>
    </row>
    <row r="34" spans="1:10" s="228" customFormat="1" ht="16" customHeight="1" thickBot="1">
      <c r="A34" s="1709" t="s">
        <v>159</v>
      </c>
      <c r="B34" s="1710"/>
      <c r="C34" s="1711"/>
      <c r="D34" s="1796">
        <f>D27*74%</f>
        <v>109.52</v>
      </c>
      <c r="E34" s="1797"/>
      <c r="F34" s="1796">
        <f>F27*74%</f>
        <v>126.95440000000001</v>
      </c>
      <c r="G34" s="1797"/>
    </row>
    <row r="35" spans="1:10" ht="15" customHeight="1" thickBot="1">
      <c r="A35" s="247"/>
      <c r="B35" s="246"/>
      <c r="C35" s="246"/>
      <c r="D35" s="246"/>
      <c r="E35" s="246"/>
      <c r="F35" s="246"/>
      <c r="G35" s="238"/>
      <c r="H35" s="237"/>
      <c r="I35" s="237"/>
      <c r="J35" s="228"/>
    </row>
    <row r="36" spans="1:10" ht="20" customHeight="1">
      <c r="A36" s="1079" t="s">
        <v>172</v>
      </c>
      <c r="B36" s="1080"/>
      <c r="C36" s="1080"/>
      <c r="D36" s="1080"/>
      <c r="E36" s="1080"/>
      <c r="F36" s="1080"/>
      <c r="G36" s="1080"/>
      <c r="H36" s="1080"/>
      <c r="I36" s="1081"/>
      <c r="J36" s="228"/>
    </row>
    <row r="37" spans="1:10" ht="20" customHeight="1" thickBot="1">
      <c r="A37" s="1170" t="s">
        <v>312</v>
      </c>
      <c r="B37" s="1171"/>
      <c r="C37" s="1171"/>
      <c r="D37" s="1171"/>
      <c r="E37" s="1171"/>
      <c r="F37" s="1171"/>
      <c r="G37" s="1171"/>
      <c r="H37" s="1171"/>
      <c r="I37" s="1172"/>
      <c r="J37" s="228"/>
    </row>
    <row r="38" spans="1:10" ht="27" customHeight="1" thickBot="1">
      <c r="A38" s="1781"/>
      <c r="B38" s="1782"/>
      <c r="C38" s="1782"/>
      <c r="D38" s="1782"/>
      <c r="E38" s="1782"/>
      <c r="F38" s="1782"/>
      <c r="G38" s="1782"/>
      <c r="H38" s="595" t="s">
        <v>341</v>
      </c>
      <c r="I38" s="598" t="s">
        <v>342</v>
      </c>
      <c r="J38" s="228"/>
    </row>
    <row r="39" spans="1:10" ht="15" customHeight="1" thickBot="1">
      <c r="A39" s="1721"/>
      <c r="B39" s="1722"/>
      <c r="C39" s="1722"/>
      <c r="D39" s="1722"/>
      <c r="E39" s="1722"/>
      <c r="F39" s="1722"/>
      <c r="G39" s="1723"/>
      <c r="H39" s="542">
        <v>40999</v>
      </c>
      <c r="I39" s="543" t="str">
        <f>'Løntabel gældende fra'!D1</f>
        <v>01/10/23</v>
      </c>
      <c r="J39" s="228"/>
    </row>
    <row r="40" spans="1:10" ht="15" customHeight="1">
      <c r="A40" s="1724" t="s">
        <v>173</v>
      </c>
      <c r="B40" s="1725"/>
      <c r="C40" s="1725"/>
      <c r="D40" s="1725"/>
      <c r="E40" s="1725"/>
      <c r="F40" s="233"/>
      <c r="G40" s="235" t="s">
        <v>165</v>
      </c>
      <c r="H40" s="297">
        <v>22.32</v>
      </c>
      <c r="I40" s="866">
        <f>ROUND(H40+(H40*'Løntabel gældende fra'!$D$7%),2)</f>
        <v>25.87</v>
      </c>
      <c r="J40" s="228"/>
    </row>
    <row r="41" spans="1:10" ht="15" customHeight="1">
      <c r="A41" s="1726" t="s">
        <v>174</v>
      </c>
      <c r="B41" s="1727"/>
      <c r="C41" s="1727"/>
      <c r="D41" s="1727"/>
      <c r="E41" s="1727"/>
      <c r="F41" s="253"/>
      <c r="G41" s="236" t="s">
        <v>165</v>
      </c>
      <c r="H41" s="299">
        <v>39.92</v>
      </c>
      <c r="I41" s="867">
        <f>ROUND(H41+(H41*'Løntabel gældende fra'!$D$7%),2)</f>
        <v>46.28</v>
      </c>
      <c r="J41" s="228"/>
    </row>
    <row r="42" spans="1:10" ht="26" customHeight="1">
      <c r="A42" s="1724" t="s">
        <v>175</v>
      </c>
      <c r="B42" s="1725"/>
      <c r="C42" s="1725"/>
      <c r="D42" s="1725"/>
      <c r="E42" s="1725"/>
      <c r="F42" s="1725"/>
      <c r="G42" s="236" t="s">
        <v>165</v>
      </c>
      <c r="H42" s="299">
        <v>39.92</v>
      </c>
      <c r="I42" s="867">
        <f>ROUND(H42+(H42*'Løntabel gældende fra'!$D$7%),2)</f>
        <v>46.28</v>
      </c>
      <c r="J42" s="228"/>
    </row>
    <row r="43" spans="1:10" ht="15" customHeight="1" thickBot="1">
      <c r="A43" s="266" t="s">
        <v>164</v>
      </c>
      <c r="B43" s="265"/>
      <c r="C43" s="265"/>
      <c r="D43" s="265"/>
      <c r="E43" s="250"/>
      <c r="F43" s="250"/>
      <c r="G43" s="260" t="s">
        <v>165</v>
      </c>
      <c r="H43" s="301">
        <v>39.92</v>
      </c>
      <c r="I43" s="868">
        <f>ROUND(H43+(H43*'Løntabel gældende fra'!$D$7%),2)</f>
        <v>46.28</v>
      </c>
      <c r="J43" s="228"/>
    </row>
    <row r="44" spans="1:10" ht="15" customHeight="1" thickBot="1">
      <c r="A44" s="259"/>
      <c r="B44" s="259"/>
      <c r="C44" s="259"/>
      <c r="D44" s="259"/>
      <c r="E44" s="259"/>
      <c r="F44" s="259"/>
      <c r="G44" s="259"/>
      <c r="H44" s="223"/>
      <c r="I44" s="258"/>
      <c r="J44" s="228"/>
    </row>
    <row r="45" spans="1:10" ht="21" customHeight="1">
      <c r="A45" s="1079" t="s">
        <v>323</v>
      </c>
      <c r="B45" s="1080"/>
      <c r="C45" s="1080"/>
      <c r="D45" s="1080"/>
      <c r="E45" s="1080"/>
      <c r="F45" s="1080"/>
      <c r="G45" s="1080"/>
      <c r="H45" s="1080"/>
      <c r="I45" s="1081"/>
      <c r="J45" s="238"/>
    </row>
    <row r="46" spans="1:10" ht="21" customHeight="1" thickBot="1">
      <c r="A46" s="1170" t="s">
        <v>308</v>
      </c>
      <c r="B46" s="1171"/>
      <c r="C46" s="1171"/>
      <c r="D46" s="1171"/>
      <c r="E46" s="1171"/>
      <c r="F46" s="1171"/>
      <c r="G46" s="1171"/>
      <c r="H46" s="1171"/>
      <c r="I46" s="1172"/>
      <c r="J46" s="238"/>
    </row>
    <row r="47" spans="1:10" ht="27" customHeight="1" thickBot="1">
      <c r="A47" s="1770"/>
      <c r="B47" s="1771"/>
      <c r="C47" s="1771"/>
      <c r="D47" s="1771"/>
      <c r="E47" s="1771"/>
      <c r="F47" s="1771"/>
      <c r="G47" s="1772"/>
      <c r="H47" s="595" t="s">
        <v>341</v>
      </c>
      <c r="I47" s="598" t="s">
        <v>342</v>
      </c>
      <c r="J47" s="238"/>
    </row>
    <row r="48" spans="1:10" ht="15" customHeight="1" thickBot="1">
      <c r="A48" s="1770"/>
      <c r="B48" s="1771"/>
      <c r="C48" s="1771"/>
      <c r="D48" s="1771"/>
      <c r="E48" s="1771"/>
      <c r="F48" s="1771"/>
      <c r="G48" s="1772"/>
      <c r="H48" s="542">
        <v>40999</v>
      </c>
      <c r="I48" s="543" t="str">
        <f>'Løntabel gældende fra'!D1</f>
        <v>01/10/23</v>
      </c>
      <c r="J48" s="238"/>
    </row>
    <row r="49" spans="1:10" ht="15" customHeight="1" thickBot="1">
      <c r="A49" s="1250" t="s">
        <v>177</v>
      </c>
      <c r="B49" s="1251"/>
      <c r="C49" s="1251"/>
      <c r="D49" s="1251"/>
      <c r="E49" s="1251"/>
      <c r="F49" s="544"/>
      <c r="G49" s="545" t="s">
        <v>165</v>
      </c>
      <c r="H49" s="303">
        <v>6.88</v>
      </c>
      <c r="I49" s="296">
        <f>ROUND(H49+(H49*'Løntabel gældende fra'!D7%),2)</f>
        <v>7.98</v>
      </c>
      <c r="J49" s="238"/>
    </row>
    <row r="50" spans="1:10" ht="15" customHeight="1" thickBot="1">
      <c r="A50" s="1780"/>
      <c r="B50" s="1780"/>
      <c r="C50" s="1780"/>
      <c r="D50" s="1780"/>
      <c r="E50" s="1780"/>
      <c r="F50" s="1780"/>
      <c r="G50" s="1780"/>
      <c r="H50" s="1780"/>
      <c r="I50" s="1780"/>
      <c r="J50" s="238"/>
    </row>
    <row r="51" spans="1:10" ht="21" customHeight="1">
      <c r="A51" s="1079" t="s">
        <v>178</v>
      </c>
      <c r="B51" s="1080"/>
      <c r="C51" s="1080"/>
      <c r="D51" s="1080"/>
      <c r="E51" s="1080"/>
      <c r="F51" s="1080"/>
      <c r="G51" s="1080"/>
      <c r="H51" s="1080"/>
      <c r="I51" s="1081"/>
      <c r="J51" s="238"/>
    </row>
    <row r="52" spans="1:10" ht="21" customHeight="1" thickBot="1">
      <c r="A52" s="1170" t="s">
        <v>312</v>
      </c>
      <c r="B52" s="1171"/>
      <c r="C52" s="1171"/>
      <c r="D52" s="1171"/>
      <c r="E52" s="1171"/>
      <c r="F52" s="1171"/>
      <c r="G52" s="1171"/>
      <c r="H52" s="1171"/>
      <c r="I52" s="1172"/>
      <c r="J52" s="238"/>
    </row>
    <row r="53" spans="1:10" ht="30" customHeight="1">
      <c r="A53" s="1774"/>
      <c r="B53" s="1775"/>
      <c r="C53" s="1775"/>
      <c r="D53" s="1775"/>
      <c r="E53" s="1775"/>
      <c r="F53" s="1775"/>
      <c r="G53" s="1776"/>
      <c r="H53" s="595" t="s">
        <v>131</v>
      </c>
      <c r="I53" s="596" t="s">
        <v>340</v>
      </c>
      <c r="J53" s="238"/>
    </row>
    <row r="54" spans="1:10" ht="15" customHeight="1" thickBot="1">
      <c r="A54" s="1777"/>
      <c r="B54" s="1778"/>
      <c r="C54" s="1778"/>
      <c r="D54" s="1778"/>
      <c r="E54" s="1778"/>
      <c r="F54" s="1778"/>
      <c r="G54" s="1779"/>
      <c r="H54" s="542">
        <v>40999</v>
      </c>
      <c r="I54" s="543" t="str">
        <f>'Løntabel gældende fra'!D1</f>
        <v>01/10/23</v>
      </c>
      <c r="J54" s="238"/>
    </row>
    <row r="55" spans="1:10" ht="15" customHeight="1" thickBot="1">
      <c r="A55" s="1250" t="s">
        <v>191</v>
      </c>
      <c r="B55" s="1251"/>
      <c r="C55" s="1251"/>
      <c r="D55" s="1251"/>
      <c r="E55" s="1251"/>
      <c r="F55" s="544"/>
      <c r="G55" s="545"/>
      <c r="H55" s="303">
        <v>655</v>
      </c>
      <c r="I55" s="296">
        <f>ROUND(H55+(H55*'Løntabel gældende fra'!D7%),2)</f>
        <v>759.27</v>
      </c>
      <c r="J55" s="238"/>
    </row>
    <row r="56" spans="1:10" ht="15" customHeight="1" thickBot="1">
      <c r="A56" s="228"/>
      <c r="B56" s="228"/>
      <c r="C56" s="228"/>
      <c r="D56" s="228"/>
      <c r="E56" s="228"/>
      <c r="F56" s="229"/>
      <c r="G56" s="228"/>
      <c r="H56" s="229"/>
      <c r="I56" s="228"/>
      <c r="J56" s="238"/>
    </row>
    <row r="57" spans="1:10" ht="21" customHeight="1">
      <c r="A57" s="1079" t="s">
        <v>324</v>
      </c>
      <c r="B57" s="1080"/>
      <c r="C57" s="1080"/>
      <c r="D57" s="1080"/>
      <c r="E57" s="1080"/>
      <c r="F57" s="1080"/>
      <c r="G57" s="1080"/>
      <c r="H57" s="1080"/>
      <c r="I57" s="1081"/>
      <c r="J57" s="238"/>
    </row>
    <row r="58" spans="1:10" ht="21" customHeight="1" thickBot="1">
      <c r="A58" s="1170" t="s">
        <v>308</v>
      </c>
      <c r="B58" s="1171"/>
      <c r="C58" s="1171"/>
      <c r="D58" s="1171"/>
      <c r="E58" s="1171"/>
      <c r="F58" s="1171"/>
      <c r="G58" s="1171"/>
      <c r="H58" s="1171"/>
      <c r="I58" s="1172"/>
      <c r="J58" s="238"/>
    </row>
    <row r="59" spans="1:10" ht="15" customHeight="1">
      <c r="A59" s="1765" t="s">
        <v>181</v>
      </c>
      <c r="B59" s="1766"/>
      <c r="C59" s="1766"/>
      <c r="D59" s="1766"/>
      <c r="E59" s="1766"/>
      <c r="F59" s="1766"/>
      <c r="G59" s="1773"/>
      <c r="H59" s="540" t="s">
        <v>98</v>
      </c>
      <c r="I59" s="541" t="s">
        <v>103</v>
      </c>
      <c r="J59" s="238"/>
    </row>
    <row r="60" spans="1:10" ht="15" customHeight="1" thickBot="1">
      <c r="A60" s="1738"/>
      <c r="B60" s="1739"/>
      <c r="C60" s="1739"/>
      <c r="D60" s="1739"/>
      <c r="E60" s="1739"/>
      <c r="F60" s="1739"/>
      <c r="G60" s="1751"/>
      <c r="H60" s="542">
        <v>40999</v>
      </c>
      <c r="I60" s="543" t="str">
        <f>'Løntabel gældende fra'!D1</f>
        <v>01/10/23</v>
      </c>
      <c r="J60" s="238"/>
    </row>
    <row r="61" spans="1:10" ht="15" customHeight="1" thickBot="1">
      <c r="A61" s="1752" t="s">
        <v>180</v>
      </c>
      <c r="B61" s="1753"/>
      <c r="C61" s="1753"/>
      <c r="D61" s="1753"/>
      <c r="E61" s="1753"/>
      <c r="F61" s="234"/>
      <c r="G61" s="245"/>
      <c r="H61" s="303">
        <v>0</v>
      </c>
      <c r="I61" s="296">
        <v>0</v>
      </c>
      <c r="J61" s="238"/>
    </row>
    <row r="62" spans="1:10" ht="15" customHeight="1" thickBot="1">
      <c r="A62" s="228"/>
      <c r="B62" s="228"/>
      <c r="C62" s="228"/>
      <c r="D62" s="228"/>
      <c r="E62" s="228"/>
      <c r="F62" s="229"/>
      <c r="G62" s="228"/>
      <c r="H62" s="229"/>
      <c r="I62" s="228"/>
      <c r="J62" s="238"/>
    </row>
    <row r="63" spans="1:10" s="238" customFormat="1" ht="18">
      <c r="A63" s="1079" t="s">
        <v>325</v>
      </c>
      <c r="B63" s="1080"/>
      <c r="C63" s="1080"/>
      <c r="D63" s="1080"/>
      <c r="E63" s="1080"/>
      <c r="F63" s="1080"/>
      <c r="G63" s="1080"/>
      <c r="H63" s="1080"/>
      <c r="I63" s="1081"/>
    </row>
    <row r="64" spans="1:10" s="238" customFormat="1" ht="17" thickBot="1">
      <c r="A64" s="1170" t="s">
        <v>308</v>
      </c>
      <c r="B64" s="1171"/>
      <c r="C64" s="1171"/>
      <c r="D64" s="1171"/>
      <c r="E64" s="1171"/>
      <c r="F64" s="1171"/>
      <c r="G64" s="1171"/>
      <c r="H64" s="1171"/>
      <c r="I64" s="1172"/>
    </row>
    <row r="65" spans="1:9" s="238" customFormat="1" ht="28">
      <c r="A65" s="1247"/>
      <c r="B65" s="1248"/>
      <c r="C65" s="1248"/>
      <c r="D65" s="1248"/>
      <c r="E65" s="1248"/>
      <c r="F65" s="1248"/>
      <c r="G65" s="1249"/>
      <c r="H65" s="595" t="s">
        <v>131</v>
      </c>
      <c r="I65" s="596" t="s">
        <v>340</v>
      </c>
    </row>
    <row r="66" spans="1:9" s="238" customFormat="1" ht="15" thickBot="1">
      <c r="A66" s="1765"/>
      <c r="B66" s="1766"/>
      <c r="C66" s="1766"/>
      <c r="D66" s="1766"/>
      <c r="E66" s="1766"/>
      <c r="F66" s="1766"/>
      <c r="G66" s="1773"/>
      <c r="H66" s="542">
        <v>40999</v>
      </c>
      <c r="I66" s="543" t="str">
        <f>'Løntabel gældende fra'!D1</f>
        <v>01/10/23</v>
      </c>
    </row>
    <row r="67" spans="1:9" s="238" customFormat="1" ht="15" thickBot="1">
      <c r="A67" s="1250" t="s">
        <v>184</v>
      </c>
      <c r="B67" s="1251"/>
      <c r="C67" s="1251"/>
      <c r="D67" s="1251"/>
      <c r="E67" s="1251"/>
      <c r="F67" s="544"/>
      <c r="G67" s="545"/>
      <c r="H67" s="303">
        <v>10500</v>
      </c>
      <c r="I67" s="304">
        <f>ROUND(H67+(H67*'Løntabel gældende fra'!D7%),2)</f>
        <v>12171.57</v>
      </c>
    </row>
    <row r="68" spans="1:9" s="264" customFormat="1" ht="14">
      <c r="A68" s="261"/>
      <c r="B68" s="261"/>
      <c r="C68" s="261"/>
      <c r="D68" s="261"/>
      <c r="E68" s="261"/>
      <c r="F68" s="249"/>
      <c r="G68" s="249"/>
      <c r="H68" s="262"/>
      <c r="I68" s="263"/>
    </row>
  </sheetData>
  <sheetProtection sheet="1" objects="1" scenarios="1"/>
  <mergeCells count="67">
    <mergeCell ref="A34:C34"/>
    <mergeCell ref="D34:E34"/>
    <mergeCell ref="F34:G34"/>
    <mergeCell ref="A33:C33"/>
    <mergeCell ref="D33:E33"/>
    <mergeCell ref="F33:G33"/>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1:J1"/>
    <mergeCell ref="A2:J2"/>
    <mergeCell ref="A3:J3"/>
    <mergeCell ref="G8:J8"/>
    <mergeCell ref="A8:F8"/>
    <mergeCell ref="A5:J6"/>
    <mergeCell ref="A4:J4"/>
    <mergeCell ref="A37:I37"/>
    <mergeCell ref="A46:I46"/>
    <mergeCell ref="A52:I52"/>
    <mergeCell ref="A38:G39"/>
    <mergeCell ref="A40:E40"/>
    <mergeCell ref="A41:E41"/>
    <mergeCell ref="A42:F42"/>
    <mergeCell ref="A51:I51"/>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2023-09-08T08:44:45Z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