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autoCompressPictures="0"/>
  <mc:AlternateContent xmlns:mc="http://schemas.openxmlformats.org/markup-compatibility/2006">
    <mc:Choice Requires="x15">
      <x15ac:absPath xmlns:x15ac="http://schemas.microsoft.com/office/spreadsheetml/2010/11/ac" url="/Users/tove/Documents/Løntabeller/2022/August/"/>
    </mc:Choice>
  </mc:AlternateContent>
  <xr:revisionPtr revIDLastSave="0" documentId="8_{D3BFCF9D-DAD8-324E-972D-D7D19916D1F2}" xr6:coauthVersionLast="47" xr6:coauthVersionMax="47" xr10:uidLastSave="{00000000-0000-0000-0000-000000000000}"/>
  <bookViews>
    <workbookView xWindow="0" yWindow="460" windowWidth="2810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2)"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1'!$A$1:$I$27</definedName>
    <definedName name="_xlnm.Print_Area" localSheetId="12">'Generelle satser'!$A$1:$H$109</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 (2)'!$A$1:$J$56</definedName>
    <definedName name="_xlnm.Print_Area" localSheetId="3">Ledere!$A$1:$G$90</definedName>
    <definedName name="_xlnm.Print_Area" localSheetId="2">'Lærere og bh kl ledere'!$A$1:$I$174</definedName>
    <definedName name="_xlnm.Print_Area" localSheetId="14">'Løntabel gældende fra'!$A$1:$G$27</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I91" i="1" l="1"/>
  <c r="I92" i="1"/>
  <c r="I83" i="1" l="1"/>
  <c r="I82" i="1"/>
  <c r="C11" i="33"/>
  <c r="D11" i="33"/>
  <c r="E11" i="33"/>
  <c r="F11" i="33"/>
  <c r="B11" i="33"/>
  <c r="F52" i="20"/>
  <c r="J41" i="34"/>
  <c r="J32" i="34"/>
  <c r="J21" i="34"/>
  <c r="J22" i="34"/>
  <c r="H22" i="34" s="1"/>
  <c r="G13" i="33"/>
  <c r="F14" i="33"/>
  <c r="E14" i="33"/>
  <c r="D14" i="33"/>
  <c r="C14" i="33"/>
  <c r="B14" i="33"/>
  <c r="F20" i="33"/>
  <c r="B85" i="20"/>
  <c r="H60" i="20"/>
  <c r="H61" i="20"/>
  <c r="F53" i="20"/>
  <c r="H53" i="20" s="1"/>
  <c r="H52" i="20"/>
  <c r="G33" i="20"/>
  <c r="H33" i="20" s="1"/>
  <c r="F33" i="20"/>
  <c r="E33" i="20"/>
  <c r="D33" i="20"/>
  <c r="C33" i="20"/>
  <c r="B33" i="20"/>
  <c r="E114" i="35"/>
  <c r="E107" i="35"/>
  <c r="E73"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4" i="35"/>
  <c r="D94" i="35" s="1"/>
  <c r="E94" i="35" s="1"/>
  <c r="F97" i="1"/>
  <c r="F101" i="1"/>
  <c r="E99" i="35"/>
  <c r="A83"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F159" i="1"/>
  <c r="G159" i="1" s="1"/>
  <c r="H159" i="1" s="1"/>
  <c r="D17" i="20"/>
  <c r="H74" i="10"/>
  <c r="O80" i="10"/>
  <c r="E38" i="20"/>
  <c r="D47" i="10"/>
  <c r="H92" i="10"/>
  <c r="D23" i="20"/>
  <c r="H56" i="10"/>
  <c r="O59" i="10"/>
  <c r="E22" i="20"/>
  <c r="E19" i="20"/>
  <c r="O116" i="10"/>
  <c r="F153" i="1"/>
  <c r="G153" i="1" s="1"/>
  <c r="H153" i="1" s="1"/>
  <c r="F116" i="10"/>
  <c r="F12" i="20"/>
  <c r="O65" i="10"/>
  <c r="G11" i="32"/>
  <c r="I11" i="32" s="1"/>
  <c r="G14" i="20"/>
  <c r="H14" i="20" s="1"/>
  <c r="C22" i="20"/>
  <c r="F89" i="10"/>
  <c r="G8" i="20"/>
  <c r="H8" i="20" s="1"/>
  <c r="C134" i="1" l="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22" i="34"/>
  <c r="G10" i="20"/>
  <c r="H10" i="20" s="1"/>
  <c r="G22" i="34"/>
  <c r="H43" i="34"/>
  <c r="I43" i="34"/>
  <c r="I34" i="34"/>
  <c r="H34" i="34"/>
  <c r="B19" i="20"/>
  <c r="D80" i="10"/>
  <c r="F11" i="32"/>
  <c r="L65" i="10"/>
  <c r="F12" i="24"/>
  <c r="F14" i="20"/>
  <c r="E29" i="20"/>
  <c r="J110" i="10"/>
  <c r="D86" i="10"/>
  <c r="B21" i="20"/>
  <c r="D85" i="13"/>
  <c r="D77" i="13"/>
  <c r="D67" i="13"/>
  <c r="F74" i="10"/>
  <c r="D39" i="20"/>
  <c r="F133" i="1"/>
  <c r="G133" i="1" s="1"/>
  <c r="H133" i="1" s="1"/>
  <c r="E26" i="20"/>
  <c r="B10" i="33"/>
  <c r="L62" i="10"/>
  <c r="D31" i="20"/>
  <c r="D95" i="10"/>
  <c r="D131" i="10"/>
  <c r="O137" i="10"/>
  <c r="F126" i="1"/>
  <c r="G126" i="1" s="1"/>
  <c r="H126" i="1" s="1"/>
  <c r="D26" i="20"/>
  <c r="E28" i="20"/>
  <c r="F26" i="20"/>
  <c r="D53" i="10"/>
  <c r="D59" i="10"/>
  <c r="O95" i="10"/>
  <c r="C9" i="32"/>
  <c r="C17" i="32" s="1"/>
  <c r="C11" i="32"/>
  <c r="L131" i="10"/>
  <c r="E21" i="20"/>
  <c r="D13" i="33"/>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C38"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9" i="32"/>
  <c r="F17" i="32" s="1"/>
  <c r="F10" i="24"/>
  <c r="F18" i="24" s="1"/>
  <c r="G40" i="20"/>
  <c r="H40" i="20" s="1"/>
  <c r="O149" i="10"/>
  <c r="E9" i="20"/>
  <c r="J50" i="10"/>
  <c r="J116" i="10"/>
  <c r="E31" i="20"/>
  <c r="L125" i="10"/>
  <c r="F37" i="20"/>
  <c r="D27" i="20"/>
  <c r="F32" i="20"/>
  <c r="D20" i="20"/>
  <c r="E12" i="33"/>
  <c r="J56" i="10"/>
  <c r="E9" i="32"/>
  <c r="E17" i="32" s="1"/>
  <c r="E10" i="33"/>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0" i="32"/>
  <c r="L80" i="10"/>
  <c r="H47" i="10"/>
  <c r="D11" i="20"/>
  <c r="F59" i="10"/>
  <c r="B31" i="20"/>
  <c r="L77" i="10"/>
  <c r="L74" i="10"/>
  <c r="I10" i="24"/>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E134" i="1" l="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alcChain>
</file>

<file path=xl/sharedStrings.xml><?xml version="1.0" encoding="utf-8"?>
<sst xmlns="http://schemas.openxmlformats.org/spreadsheetml/2006/main" count="1250" uniqueCount="553">
  <si>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</si>
  <si>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</si>
  <si>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</si>
  <si>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</si>
  <si>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</si>
  <si>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</si>
  <si>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</si>
  <si>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</si>
  <si>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</si>
  <si>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</si>
  <si>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</si>
  <si>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</si>
  <si>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</si>
  <si>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</si>
  <si>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</si>
  <si>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</si>
  <si>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</si>
  <si>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</si>
  <si>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</si>
  <si>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</si>
  <si>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</si>
  <si>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</si>
  <si>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</si>
  <si>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</si>
  <si>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</si>
  <si>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</si>
  <si>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</si>
  <si>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</si>
  <si>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</si>
  <si>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</si>
  <si>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</si>
  <si>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</si>
  <si>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</si>
  <si>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</si>
  <si>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</si>
  <si>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</si>
  <si>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</si>
  <si>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</si>
  <si>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</si>
  <si>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</si>
  <si>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</si>
  <si>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</si>
  <si>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</si>
  <si>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</si>
  <si>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</si>
  <si>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</si>
  <si>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</si>
  <si>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</si>
  <si>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</si>
  <si>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</si>
  <si>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</si>
  <si>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</si>
  <si>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</si>
  <si>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</si>
  <si>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</si>
  <si>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</si>
  <si>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</si>
  <si>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</si>
  <si>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</si>
  <si>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</si>
  <si>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</si>
  <si>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</si>
  <si>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</si>
  <si>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</si>
  <si>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</si>
  <si>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</si>
  <si>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</si>
  <si>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</si>
  <si>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</si>
  <si>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</si>
  <si>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</si>
  <si>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</si>
  <si>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</si>
  <si>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</si>
  <si>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</si>
  <si>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</si>
  <si>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</si>
  <si>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</si>
  <si>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</si>
  <si>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</si>
  <si>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</si>
  <si>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</si>
  <si>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</si>
  <si>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</si>
  <si>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</si>
  <si>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</si>
  <si>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</si>
  <si>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</si>
  <si>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</si>
  <si>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</si>
  <si>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</si>
  <si>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</si>
  <si>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</si>
  <si>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</si>
  <si>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</si>
  <si>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</si>
  <si>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</si>
  <si>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</si>
  <si>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</si>
  <si>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</si>
  <si>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</si>
  <si>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</si>
  <si>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</si>
  <si>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</si>
  <si>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</si>
  <si>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</si>
  <si>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</si>
  <si>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</si>
  <si>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</si>
  <si>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</si>
  <si>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</si>
  <si>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</si>
  <si>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</si>
  <si>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</si>
  <si>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</si>
  <si>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</si>
  <si>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</si>
  <si>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</si>
  <si>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</si>
  <si>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</si>
  <si>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</si>
  <si>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</si>
  <si>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</si>
  <si>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</si>
  <si>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</si>
  <si>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</si>
  <si>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</si>
  <si>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</si>
  <si>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</si>
  <si>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</si>
  <si>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</si>
  <si>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</si>
  <si>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</si>
  <si>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</si>
  <si>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</si>
  <si>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</si>
  <si>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</si>
  <si>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</si>
  <si>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</si>
  <si>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</si>
  <si>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</si>
  <si>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</si>
  <si>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</si>
  <si>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</si>
  <si>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</si>
  <si>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</si>
  <si>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</si>
  <si>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</si>
  <si>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</si>
  <si>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</si>
  <si>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</si>
  <si>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</si>
  <si>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</si>
  <si>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</si>
  <si>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</si>
  <si>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</si>
  <si>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</si>
  <si>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</si>
  <si>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</si>
  <si>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</si>
  <si>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</si>
  <si>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</si>
  <si>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</si>
  <si>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</si>
  <si>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</si>
  <si>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</si>
  <si>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</si>
  <si>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</si>
  <si>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</si>
  <si>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</si>
  <si>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</si>
  <si>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</si>
  <si>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</si>
  <si>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</si>
  <si>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</si>
  <si>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</si>
  <si>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</si>
  <si>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</si>
  <si>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</si>
  <si>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</si>
  <si>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</si>
  <si>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</si>
  <si>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</si>
  <si>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</si>
  <si>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</si>
  <si>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</si>
  <si>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</si>
  <si>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</si>
  <si>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</si>
  <si>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</si>
  <si>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</si>
  <si>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</si>
  <si>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</si>
  <si>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</si>
  <si>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</si>
  <si>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</si>
  <si>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</si>
  <si>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</si>
  <si>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</si>
  <si>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</si>
  <si>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</si>
  <si>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</si>
  <si>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</si>
  <si>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</si>
  <si>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</si>
  <si>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</si>
  <si>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</si>
  <si>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</si>
  <si>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</si>
  <si>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</si>
  <si>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</si>
  <si>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</si>
  <si>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</si>
  <si>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</si>
  <si>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</si>
  <si>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</si>
  <si>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</si>
  <si>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</si>
  <si>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</si>
  <si>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</si>
  <si>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</si>
  <si>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</si>
  <si>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</si>
  <si>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</si>
  <si>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</si>
  <si>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</si>
  <si>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</si>
  <si>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</si>
  <si>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</si>
  <si>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</si>
  <si>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</si>
  <si>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</si>
  <si>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</si>
  <si>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</si>
  <si>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</si>
  <si>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</si>
  <si>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</si>
  <si>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</si>
  <si>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</si>
  <si>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</si>
  <si>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</si>
  <si>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</si>
  <si>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</si>
  <si>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</si>
  <si>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</si>
  <si>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</si>
  <si>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</si>
  <si>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</si>
  <si>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</si>
  <si>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</si>
  <si>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</si>
  <si>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</si>
  <si>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</si>
  <si>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</si>
  <si>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</si>
  <si>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</si>
  <si>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</si>
  <si>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</si>
  <si>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</si>
  <si>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</si>
  <si>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</si>
  <si>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</si>
  <si>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</si>
  <si>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</si>
  <si>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</si>
  <si>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</si>
  <si>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</si>
  <si>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</si>
  <si>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</si>
  <si>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</si>
  <si>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</si>
  <si>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</si>
  <si>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</si>
  <si>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</si>
  <si>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</si>
  <si>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</si>
  <si>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</si>
  <si>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</si>
  <si>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</si>
  <si>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</si>
  <si>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</si>
  <si>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</si>
  <si>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</si>
  <si>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</si>
  <si>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</si>
  <si>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</si>
  <si>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</si>
  <si>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</si>
  <si>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</si>
  <si>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</si>
  <si>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</si>
  <si>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</si>
  <si>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</si>
  <si>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</si>
  <si>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</si>
  <si>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</si>
  <si>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</si>
  <si>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</si>
  <si>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</si>
  <si>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</si>
  <si>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</si>
  <si>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</si>
  <si>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</si>
  <si>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</si>
  <si>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</si>
  <si>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</si>
  <si>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</si>
  <si>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</si>
  <si>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</si>
  <si>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</si>
  <si>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</si>
  <si>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</si>
  <si>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</si>
  <si>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</si>
  <si>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</si>
  <si>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</si>
  <si>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</si>
  <si>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</si>
  <si>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</si>
  <si>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</si>
  <si>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</si>
  <si>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</si>
  <si>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</si>
  <si>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</si>
  <si>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</si>
  <si>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</si>
  <si>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</si>
  <si>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</si>
  <si>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</si>
  <si>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</si>
  <si>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</si>
  <si>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</si>
  <si>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</si>
  <si>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</si>
  <si>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</si>
  <si>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</si>
  <si>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</si>
  <si>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</si>
  <si>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</si>
  <si>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</si>
  <si>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</si>
  <si>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</si>
  <si>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</si>
  <si>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</si>
  <si>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</si>
  <si>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</si>
  <si>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</si>
  <si>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</si>
  <si>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</si>
  <si>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</si>
  <si>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Rektor ved private gymnasieskoler</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</si>
  <si>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</si>
  <si>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</si>
  <si>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</si>
  <si>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</si>
  <si>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</si>
  <si>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</si>
  <si>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</si>
  <si>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</si>
  <si>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</si>
  <si>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</si>
  <si>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</si>
  <si>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</si>
  <si>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</si>
  <si>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</si>
  <si>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</si>
  <si>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</si>
  <si>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</si>
  <si>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</si>
  <si>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</si>
  <si>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</si>
  <si>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</si>
  <si>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</si>
  <si>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</si>
  <si>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</si>
  <si>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</si>
  <si>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</si>
  <si>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</si>
  <si>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</si>
  <si>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</si>
  <si>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</si>
  <si>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</si>
  <si>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</si>
  <si>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</si>
  <si>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</si>
  <si>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</si>
  <si>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</si>
  <si>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</si>
  <si>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</si>
  <si>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</si>
  <si>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</si>
  <si>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</si>
  <si>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</si>
  <si>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</si>
  <si>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</si>
  <si>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</si>
  <si>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</si>
  <si>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</si>
  <si>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</si>
  <si>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</si>
  <si>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</si>
  <si>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</si>
  <si>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</si>
  <si>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</si>
  <si>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</si>
  <si>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</si>
  <si>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</si>
  <si>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</si>
  <si>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</si>
  <si>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</si>
  <si>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</si>
  <si>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</si>
  <si>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</si>
  <si>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</si>
  <si>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</si>
  <si>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</si>
  <si>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</si>
  <si>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</si>
  <si>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</si>
  <si>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</si>
  <si>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</si>
  <si>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</si>
  <si>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</si>
  <si>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</si>
  <si>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</si>
  <si>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</si>
  <si>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</si>
  <si>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</si>
  <si>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</si>
  <si>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</si>
  <si>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</si>
  <si>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</si>
  <si>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</si>
  <si>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</si>
  <si>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</si>
  <si>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</si>
  <si>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</si>
  <si>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</si>
  <si>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</si>
  <si>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</si>
  <si>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</si>
  <si>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</si>
  <si>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</si>
  <si>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</si>
  <si>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</si>
  <si>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</si>
  <si>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</si>
  <si>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</si>
  <si>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</si>
  <si>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</si>
  <si>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</si>
  <si>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</si>
  <si>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</si>
  <si>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</si>
  <si>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</si>
  <si>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</si>
  <si>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</si>
  <si>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</si>
  <si>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</si>
  <si>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</si>
  <si>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</si>
  <si>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</si>
  <si>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</si>
  <si>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</si>
  <si>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</si>
  <si>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</si>
  <si>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</si>
  <si>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</si>
  <si>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</si>
  <si>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</si>
  <si>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</si>
  <si>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</si>
  <si>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</si>
  <si>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</si>
  <si>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</si>
  <si>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</si>
  <si>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</si>
  <si>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</si>
  <si>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</si>
  <si>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</si>
  <si>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</si>
  <si>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</si>
  <si>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</si>
  <si>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</si>
  <si>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</si>
  <si>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</si>
  <si>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</si>
  <si>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</si>
  <si>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</si>
  <si>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</si>
  <si>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</si>
  <si>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</si>
  <si>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</si>
  <si>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</si>
  <si>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</si>
  <si>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</si>
  <si>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</si>
  <si>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</si>
  <si>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</si>
  <si>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</si>
  <si>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</si>
  <si>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</si>
  <si>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</si>
  <si>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</si>
  <si>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</si>
  <si>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</si>
  <si>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</si>
  <si>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</si>
  <si>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</si>
  <si>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</si>
  <si>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01/04/2022</t>
  </si>
  <si>
    <t xml:space="preserve">Aftalt løn kr. 33.000,- pr. Måned </t>
  </si>
  <si>
    <t>Skalatrinslønnen nærmest herunder på skalatrin 40: kr. 32.797,08 pr. måned.</t>
  </si>
  <si>
    <t>Pensionstilsvaret bliver 15% af den pensionsgivende løn på skalatrin 40 = 15% af kr. 32.797,08 pr. måned = kr. 4.919,56</t>
  </si>
  <si>
    <t>Aftalt løn kr. 34.500,- pr. måned</t>
  </si>
  <si>
    <t>Skalatrinslønnen nærmest herunder på skalatrin 42: kr. 34.179,92 pr. måned.</t>
  </si>
  <si>
    <t>Pensionstilsvaret bliver 15% af den pensionsgivende løn på skalatrin 42 = 15% af kr. 34.179,92 pr. måned = kr. 5.126,99</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</si>
  <si>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</si>
  <si>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</si>
  <si>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</si>
  <si>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</si>
  <si>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</si>
  <si>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</si>
  <si>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</si>
  <si>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</si>
  <si>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</si>
  <si>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</si>
  <si>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</si>
  <si>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</si>
  <si>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</si>
  <si>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gældende for perioden 01.04.2022 til og med 31.03.2023</t>
  </si>
  <si>
    <t>Arbejdsmiljøreprænstanter</t>
  </si>
  <si>
    <t>Arbejdsmiljørrepræsentanter der også er valgt som tillidsrepresentant</t>
  </si>
  <si>
    <t>Arbejdsmiljøreprænsentanter</t>
  </si>
  <si>
    <t>Gældende fra 1. maj 2022</t>
  </si>
  <si>
    <t>*) indtil 20.000 km pr. år derefter kr. 2,17</t>
  </si>
  <si>
    <t>Kørsel i henhold til bemyndigelse*</t>
  </si>
  <si>
    <t>Gældende fra 1. august 2022</t>
  </si>
  <si>
    <t>Denne løntabel er gældende indtil 30. september 2022</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</si>
  <si>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</si>
  <si>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</si>
  <si>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</si>
  <si>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</si>
  <si>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</si>
  <si>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</si>
  <si>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Tillæg ved deltagelse i lejrskole og ligende elevarrangementer på hverdage med overnatning (pr. dag)</t>
  </si>
  <si>
    <t>Tillæg ved deltagelse i lejrskole og ligende elevarrangementer på lørdage, søndage og helligdage med overnatning (pr. dag)</t>
  </si>
  <si>
    <t>Lærere og børnehaveklasseledere:</t>
  </si>
  <si>
    <t>Nye tillæg til lærere og børnehaveklasseledere ved deltagelse i lejrskole eller andre elevarrangementer med overnatning.</t>
  </si>
  <si>
    <t>Nyt tillæg til eksaminator eller censor(skal aftales med den enkelte lærer. Tillægget ydes i stedet for arbejdstid)</t>
  </si>
  <si>
    <t>Udgivet d. 8. juli 2022</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</si>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</sst>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i/>
      <sz val="11"/>
      <name val="Arial"/>
      <family val="2"/>
    </font>
    <font>
      <sz val="14"/>
      <name val="Arial"/>
      <family val="2"/>
    </font>
    <font>
      <sz val="16"/>
      <name val="Arial"/>
      <family val="2"/>
    </font>
    <font>
      <sz val="14"/>
      <color indexed="8"/>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91">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2" fontId="16" fillId="0" borderId="45" xfId="0" applyNumberFormat="1" applyFont="1" applyBorder="1" applyAlignment="1">
      <alignment horizontal="center"/>
    </xf>
    <xf numFmtId="4" fontId="16" fillId="0" borderId="54" xfId="0" applyNumberFormat="1" applyFont="1" applyBorder="1" applyAlignment="1">
      <alignment horizont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ont="1"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0" borderId="42" xfId="709" applyNumberForma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14" fontId="47" fillId="4" borderId="53" xfId="709" applyNumberFormat="1" applyFont="1" applyFill="1" applyBorder="1"/>
    <xf numFmtId="4" fontId="39" fillId="4" borderId="53" xfId="773" applyNumberFormat="1" applyFont="1" applyFill="1" applyBorder="1" applyAlignment="1">
      <alignment horizontal="center"/>
    </xf>
    <xf numFmtId="0" fontId="39" fillId="4" borderId="50" xfId="709" applyFont="1" applyFill="1" applyBorder="1" applyAlignment="1">
      <alignment horizontal="center" vertical="top" wrapText="1"/>
    </xf>
    <xf numFmtId="0" fontId="13" fillId="4" borderId="54" xfId="0" applyFont="1" applyFill="1" applyBorder="1" applyAlignment="1">
      <alignment horizontal="center" vertical="center" wrapText="1"/>
    </xf>
    <xf numFmtId="14" fontId="13" fillId="4" borderId="43" xfId="0" applyNumberFormat="1" applyFont="1" applyFill="1" applyBorder="1" applyAlignment="1"/>
    <xf numFmtId="4" fontId="14" fillId="0" borderId="53" xfId="0" applyNumberFormat="1" applyFont="1" applyBorder="1" applyAlignment="1">
      <alignment horizontal="center"/>
    </xf>
    <xf numFmtId="4" fontId="14" fillId="3" borderId="49" xfId="0" applyNumberFormat="1" applyFont="1" applyFill="1" applyBorder="1" applyAlignment="1">
      <alignment horizontal="center"/>
    </xf>
    <xf numFmtId="2" fontId="12" fillId="3" borderId="55" xfId="0" applyNumberFormat="1" applyFont="1" applyFill="1" applyBorder="1" applyAlignment="1">
      <alignment horizontal="center" vertical="center" wrapText="1"/>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4" borderId="0" xfId="0" applyFont="1" applyFill="1" applyAlignment="1">
      <alignment horizontal="center" vertical="top" wrapText="1"/>
    </xf>
    <xf numFmtId="0" fontId="10" fillId="0" borderId="0" xfId="0" applyFont="1" applyBorder="1" applyAlignment="1">
      <alignment horizontal="center" wrapText="1"/>
    </xf>
    <xf numFmtId="0" fontId="15" fillId="0" borderId="0" xfId="0" applyFont="1" applyBorder="1" applyAlignment="1">
      <alignment horizontal="center" wrapText="1"/>
    </xf>
    <xf numFmtId="0" fontId="12" fillId="0" borderId="0" xfId="0" applyFont="1" applyBorder="1" applyAlignment="1">
      <alignment horizontal="left" vertical="center" wrapText="1"/>
    </xf>
    <xf numFmtId="0" fontId="12" fillId="0" borderId="0" xfId="0" applyFont="1" applyBorder="1" applyAlignment="1">
      <alignment horizontal="left" wrapText="1"/>
    </xf>
    <xf numFmtId="0" fontId="11" fillId="0" borderId="0" xfId="0" applyFont="1" applyBorder="1" applyAlignment="1">
      <alignment horizontal="left"/>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wrapText="1"/>
    </xf>
    <xf numFmtId="0" fontId="32" fillId="8" borderId="0" xfId="0" applyFont="1" applyFill="1" applyBorder="1" applyAlignment="1">
      <alignment horizontal="left" wrapText="1"/>
    </xf>
    <xf numFmtId="0" fontId="32" fillId="8" borderId="20" xfId="0" applyFont="1" applyFill="1" applyBorder="1" applyAlignment="1">
      <alignment horizontal="left" wrapText="1"/>
    </xf>
    <xf numFmtId="0" fontId="32" fillId="8" borderId="21" xfId="0" applyFont="1" applyFill="1" applyBorder="1" applyAlignment="1">
      <alignment horizontal="left" wrapText="1"/>
    </xf>
    <xf numFmtId="0" fontId="32" fillId="8" borderId="24" xfId="0" applyFont="1" applyFill="1" applyBorder="1" applyAlignment="1">
      <alignment horizontal="left" wrapText="1"/>
    </xf>
    <xf numFmtId="0" fontId="32" fillId="8" borderId="22" xfId="0" applyFont="1" applyFill="1" applyBorder="1" applyAlignment="1">
      <alignment horizontal="left"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4" xfId="0" quotePrefix="1" applyFont="1" applyFill="1" applyBorder="1" applyAlignment="1">
      <alignment horizontal="left"/>
    </xf>
    <xf numFmtId="0" fontId="14" fillId="4" borderId="2" xfId="0" quotePrefix="1" applyFont="1" applyFill="1" applyBorder="1" applyAlignment="1">
      <alignment horizontal="left"/>
    </xf>
    <xf numFmtId="0" fontId="14" fillId="4" borderId="45" xfId="0" quotePrefix="1" applyFont="1" applyFill="1" applyBorder="1" applyAlignment="1">
      <alignment horizontal="left"/>
    </xf>
    <xf numFmtId="0" fontId="14" fillId="4" borderId="44" xfId="0" quotePrefix="1" applyFont="1" applyFill="1" applyBorder="1" applyAlignment="1">
      <alignment horizontal="left"/>
    </xf>
    <xf numFmtId="0" fontId="14" fillId="4" borderId="47" xfId="0" quotePrefix="1" applyFont="1" applyFill="1" applyBorder="1" applyAlignment="1">
      <alignment horizontal="left"/>
    </xf>
    <xf numFmtId="0" fontId="14" fillId="4" borderId="27"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0" fontId="14" fillId="4" borderId="28" xfId="0" quotePrefix="1" applyFont="1" applyFill="1" applyBorder="1" applyAlignment="1">
      <alignment horizontal="left" wrapText="1"/>
    </xf>
    <xf numFmtId="0" fontId="14" fillId="4" borderId="29" xfId="0" quotePrefix="1" applyFont="1" applyFill="1" applyBorder="1" applyAlignment="1">
      <alignment horizontal="left" wrapText="1"/>
    </xf>
    <xf numFmtId="0" fontId="14" fillId="4" borderId="30" xfId="0" quotePrefix="1" applyFont="1" applyFill="1" applyBorder="1" applyAlignment="1">
      <alignment horizontal="left" wrapText="1"/>
    </xf>
    <xf numFmtId="0" fontId="32" fillId="5" borderId="51"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8" borderId="16"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0" fontId="32" fillId="8" borderId="51" xfId="0" applyFont="1" applyFill="1" applyBorder="1" applyAlignment="1">
      <alignment horizontal="left" wrapText="1"/>
    </xf>
    <xf numFmtId="0" fontId="32" fillId="8" borderId="52" xfId="0" applyFont="1" applyFill="1" applyBorder="1" applyAlignment="1">
      <alignment horizontal="left" wrapText="1"/>
    </xf>
    <xf numFmtId="0" fontId="32" fillId="8" borderId="53" xfId="0" applyFont="1" applyFill="1" applyBorder="1" applyAlignment="1">
      <alignment horizontal="left" wrapText="1"/>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Border="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4"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42"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4" fillId="4" borderId="9" xfId="0" applyFont="1" applyFill="1" applyBorder="1" applyAlignment="1">
      <alignment horizontal="center" vertical="center" wrapTex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Font="1" applyBorder="1" applyAlignment="1">
      <alignment horizontal="center"/>
    </xf>
    <xf numFmtId="0" fontId="39" fillId="0" borderId="24" xfId="709" applyFont="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Fill="1" applyBorder="1" applyAlignment="1">
      <alignment horizontal="center" wrapText="1" shrinkToFit="1"/>
    </xf>
    <xf numFmtId="0" fontId="16" fillId="0" borderId="52" xfId="0" applyFont="1" applyFill="1" applyBorder="1" applyAlignment="1">
      <alignment horizontal="center" wrapText="1" shrinkToFit="1"/>
    </xf>
    <xf numFmtId="0" fontId="16" fillId="0" borderId="53" xfId="0" applyFont="1" applyFill="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164" fontId="39" fillId="0" borderId="68" xfId="80" applyFont="1" applyBorder="1" applyAlignment="1">
      <alignment horizontal="center" vertic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Border="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164" fontId="39" fillId="0" borderId="43" xfId="80" applyFont="1" applyBorder="1" applyAlignment="1">
      <alignment horizontal="center" vertical="center" wrapTex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4" borderId="27"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0" borderId="51" xfId="773" applyNumberFormat="1" applyFont="1" applyFill="1" applyBorder="1" applyAlignment="1">
      <alignment horizontal="center" vertical="center"/>
    </xf>
    <xf numFmtId="4" fontId="39" fillId="0" borderId="53" xfId="773" applyNumberFormat="1"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xf numFmtId="0" fontId="13" fillId="4" borderId="51" xfId="0" applyFont="1" applyFill="1" applyBorder="1" applyAlignment="1">
      <alignment horizontal="left" wrapText="1"/>
    </xf>
    <xf numFmtId="0" fontId="13" fillId="4" borderId="52" xfId="0" applyFont="1" applyFill="1" applyBorder="1" applyAlignment="1">
      <alignment horizontal="left" wrapText="1"/>
    </xf>
    <xf numFmtId="0" fontId="13" fillId="4" borderId="61" xfId="0" applyFont="1" applyFill="1" applyBorder="1" applyAlignment="1">
      <alignment horizontal="left" wrapText="1"/>
    </xf>
    <xf numFmtId="2" fontId="12" fillId="4" borderId="53" xfId="0" applyNumberFormat="1" applyFont="1" applyFill="1" applyBorder="1" applyAlignment="1">
      <alignment horizontal="center" vertical="center" wrapText="1"/>
    </xf>
    <xf numFmtId="0" fontId="14" fillId="3" borderId="0" xfId="0" quotePrefix="1" applyFont="1" applyFill="1" applyAlignment="1">
      <alignment vertical="center" wrapText="1"/>
    </xf>
    <xf numFmtId="0" fontId="12" fillId="3" borderId="31" xfId="0" applyFont="1" applyFill="1" applyBorder="1" applyAlignment="1">
      <alignment horizontal="left" wrapText="1"/>
    </xf>
    <xf numFmtId="0" fontId="12"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14</xdr:row>
      <xdr:rowOff>202311</xdr:rowOff>
    </xdr:from>
    <xdr:to>
      <xdr:col>4</xdr:col>
      <xdr:colOff>1242095</xdr:colOff>
      <xdr:row>14</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14</xdr:row>
      <xdr:rowOff>103860</xdr:rowOff>
    </xdr:from>
    <xdr:to>
      <xdr:col>8</xdr:col>
      <xdr:colOff>215900</xdr:colOff>
      <xdr:row>15</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6"/>
        <a:stretch>
          <a:fillRect/>
        </a:stretch>
      </xdr:blipFill>
      <xdr:spPr>
        <a:xfrm>
          <a:off x="3581400" y="6896100"/>
          <a:ext cx="13208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zoomScale="125" workbookViewId="0">
      <selection activeCell="A4" sqref="A4:I4"/>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86"/>
      <c r="B1" s="1086"/>
      <c r="C1" s="1086"/>
      <c r="D1" s="1086"/>
      <c r="E1" s="1086"/>
      <c r="F1" s="1086"/>
      <c r="G1" s="1086"/>
      <c r="H1" s="1086"/>
      <c r="I1" s="1086"/>
    </row>
    <row r="2" spans="1:21" ht="30" customHeight="1">
      <c r="A2" s="1073"/>
      <c r="B2" s="1073"/>
      <c r="C2" s="1073"/>
      <c r="D2" s="1073"/>
      <c r="E2" s="1073"/>
      <c r="F2" s="1073"/>
      <c r="G2" s="1073"/>
      <c r="H2" s="1073"/>
      <c r="I2" s="1073"/>
    </row>
    <row r="3" spans="1:21" ht="37" customHeight="1">
      <c r="A3" s="1087" t="s">
        <v>82</v>
      </c>
      <c r="B3" s="1087"/>
      <c r="C3" s="1087"/>
      <c r="D3" s="1087"/>
      <c r="E3" s="1087"/>
      <c r="F3" s="1087"/>
      <c r="G3" s="1087"/>
      <c r="H3" s="1087"/>
      <c r="I3" s="1087"/>
      <c r="M3" s="1084"/>
      <c r="N3" s="1085"/>
      <c r="O3" s="1085"/>
      <c r="P3" s="1085"/>
      <c r="Q3" s="1085"/>
      <c r="R3" s="1085"/>
      <c r="S3" s="1085"/>
      <c r="T3" s="1085"/>
      <c r="U3" s="1085"/>
    </row>
    <row r="4" spans="1:21" ht="26" customHeight="1">
      <c r="A4" s="1087" t="s">
        <v>424</v>
      </c>
      <c r="B4" s="1087"/>
      <c r="C4" s="1087"/>
      <c r="D4" s="1087"/>
      <c r="E4" s="1087"/>
      <c r="F4" s="1087"/>
      <c r="G4" s="1087"/>
      <c r="H4" s="1087"/>
      <c r="I4" s="1087"/>
    </row>
    <row r="5" spans="1:21" s="33" customFormat="1" ht="14" customHeight="1">
      <c r="A5" s="1088"/>
      <c r="B5" s="1088"/>
      <c r="C5" s="1088"/>
      <c r="D5" s="1088"/>
      <c r="E5" s="1088"/>
      <c r="F5" s="1088"/>
      <c r="G5" s="1088"/>
      <c r="H5" s="1088"/>
      <c r="I5" s="1088"/>
    </row>
    <row r="6" spans="1:21" s="33" customFormat="1" ht="21" customHeight="1">
      <c r="A6" s="1090" t="s">
        <v>537</v>
      </c>
      <c r="B6" s="1090"/>
      <c r="C6" s="1090"/>
      <c r="D6" s="1090"/>
      <c r="E6" s="1090"/>
      <c r="F6" s="1090"/>
      <c r="G6" s="1090"/>
      <c r="H6" s="1090"/>
      <c r="I6" s="1090"/>
    </row>
    <row r="7" spans="1:21" s="33" customFormat="1" ht="36.75" customHeight="1">
      <c r="A7" s="1091" t="s">
        <v>538</v>
      </c>
      <c r="B7" s="1091"/>
      <c r="C7" s="1091"/>
      <c r="D7" s="1091"/>
      <c r="E7" s="1091"/>
      <c r="F7" s="1091"/>
      <c r="G7" s="1091"/>
      <c r="H7" s="1091"/>
      <c r="I7" s="1091"/>
    </row>
    <row r="8" spans="1:21" ht="18" customHeight="1">
      <c r="A8" s="1075" t="s">
        <v>550</v>
      </c>
      <c r="B8" s="1075"/>
      <c r="C8" s="1075"/>
      <c r="D8" s="1075"/>
      <c r="E8" s="1075"/>
      <c r="F8" s="1075"/>
      <c r="G8" s="1075"/>
      <c r="H8" s="1075"/>
      <c r="I8" s="1075"/>
    </row>
    <row r="9" spans="1:21" ht="18" customHeight="1">
      <c r="A9" s="1075"/>
      <c r="B9" s="1075"/>
      <c r="C9" s="1075"/>
      <c r="D9" s="1075"/>
      <c r="E9" s="1075"/>
      <c r="F9" s="1075"/>
      <c r="G9" s="1075"/>
      <c r="H9" s="1075"/>
      <c r="I9" s="1075"/>
    </row>
    <row r="10" spans="1:21" ht="18" customHeight="1">
      <c r="A10" s="1094" t="s">
        <v>474</v>
      </c>
      <c r="B10" s="1094"/>
      <c r="C10" s="1094"/>
      <c r="D10" s="1094"/>
      <c r="E10" s="1094"/>
      <c r="F10" s="1094"/>
      <c r="G10" s="1094"/>
      <c r="H10" s="1094"/>
      <c r="I10" s="1094"/>
    </row>
    <row r="11" spans="1:21" ht="18" customHeight="1">
      <c r="A11" s="1093" t="s">
        <v>547</v>
      </c>
      <c r="B11" s="1093"/>
      <c r="C11" s="1093"/>
      <c r="D11" s="1093"/>
      <c r="E11" s="1093"/>
      <c r="F11" s="1093"/>
      <c r="G11" s="1093"/>
      <c r="H11" s="1093"/>
      <c r="I11" s="1093"/>
    </row>
    <row r="12" spans="1:21" ht="18" customHeight="1">
      <c r="A12" s="1092" t="s">
        <v>548</v>
      </c>
      <c r="B12" s="1092"/>
      <c r="C12" s="1092"/>
      <c r="D12" s="1092"/>
      <c r="E12" s="1092"/>
      <c r="F12" s="1092"/>
      <c r="G12" s="1092"/>
      <c r="H12" s="1092"/>
      <c r="I12" s="1092"/>
    </row>
    <row r="13" spans="1:21" ht="24" customHeight="1">
      <c r="A13" s="1092" t="s">
        <v>549</v>
      </c>
      <c r="B13" s="1092"/>
      <c r="C13" s="1092"/>
      <c r="D13" s="1092"/>
      <c r="E13" s="1092"/>
      <c r="F13" s="1092"/>
      <c r="G13" s="1092"/>
      <c r="H13" s="1092"/>
      <c r="I13" s="1092"/>
    </row>
    <row r="14" spans="1:21" ht="21" customHeight="1">
      <c r="A14" s="787"/>
      <c r="B14" s="787"/>
      <c r="C14" s="787"/>
      <c r="D14" s="787"/>
      <c r="E14" s="787"/>
      <c r="F14" s="787"/>
      <c r="G14" s="787"/>
      <c r="H14" s="787"/>
      <c r="I14" s="787"/>
    </row>
    <row r="15" spans="1:21" ht="51" customHeight="1">
      <c r="A15" s="1076" t="s">
        <v>85</v>
      </c>
      <c r="B15" s="1076"/>
      <c r="C15" s="1076"/>
      <c r="D15" s="1076"/>
      <c r="E15" s="34"/>
      <c r="F15" s="1089" t="s">
        <v>336</v>
      </c>
      <c r="G15" s="1089"/>
      <c r="H15" s="1089"/>
      <c r="I15" s="1089"/>
    </row>
    <row r="16" spans="1:21" ht="51" customHeight="1">
      <c r="A16" s="1076" t="s">
        <v>83</v>
      </c>
      <c r="B16" s="1076"/>
      <c r="C16" s="1076"/>
      <c r="D16" s="1076"/>
      <c r="E16" s="34"/>
      <c r="F16" s="1074" t="s">
        <v>337</v>
      </c>
      <c r="G16" s="1074"/>
      <c r="H16" s="1074"/>
      <c r="I16" s="1074"/>
    </row>
    <row r="17" spans="1:9" ht="48" customHeight="1">
      <c r="A17" s="1076" t="s">
        <v>330</v>
      </c>
      <c r="B17" s="1076"/>
      <c r="C17" s="1076"/>
      <c r="D17" s="1076"/>
      <c r="E17" s="1077"/>
      <c r="F17" s="1074" t="s">
        <v>418</v>
      </c>
      <c r="G17" s="1074"/>
      <c r="H17" s="1074"/>
      <c r="I17" s="1074"/>
    </row>
    <row r="18" spans="1:9" ht="2" hidden="1" customHeight="1">
      <c r="A18" s="1076"/>
      <c r="B18" s="1076"/>
      <c r="C18" s="1076"/>
      <c r="D18" s="1076"/>
      <c r="E18" s="1077"/>
      <c r="F18" s="1074" t="s">
        <v>479</v>
      </c>
      <c r="G18" s="1074"/>
      <c r="H18" s="1074"/>
      <c r="I18" s="1074"/>
    </row>
    <row r="19" spans="1:9" ht="13" hidden="1" customHeight="1">
      <c r="A19" s="1076"/>
      <c r="B19" s="1076"/>
      <c r="C19" s="1076"/>
      <c r="D19" s="1076"/>
      <c r="E19" s="1077"/>
      <c r="F19" s="1074"/>
      <c r="G19" s="1074"/>
      <c r="H19" s="1074"/>
      <c r="I19" s="1074"/>
    </row>
    <row r="20" spans="1:9" ht="50" customHeight="1">
      <c r="A20" s="1078" t="s">
        <v>84</v>
      </c>
      <c r="B20" s="1078"/>
      <c r="C20" s="41"/>
      <c r="D20" s="41"/>
      <c r="E20" s="1077"/>
      <c r="F20" s="1074"/>
      <c r="G20" s="1074"/>
      <c r="H20" s="1074"/>
      <c r="I20" s="1074"/>
    </row>
    <row r="21" spans="1:9" ht="2" hidden="1" customHeight="1">
      <c r="A21" s="1078"/>
      <c r="B21" s="1078"/>
      <c r="C21" s="41"/>
      <c r="D21" s="41"/>
      <c r="E21" s="1077"/>
      <c r="F21" s="1074"/>
      <c r="G21" s="1074"/>
      <c r="H21" s="1074"/>
      <c r="I21" s="1074"/>
    </row>
    <row r="22" spans="1:9" ht="10" hidden="1" customHeight="1">
      <c r="A22" s="1078"/>
      <c r="B22" s="1078"/>
      <c r="C22" s="41"/>
      <c r="D22" s="41"/>
      <c r="E22" s="1077"/>
      <c r="F22" s="1074"/>
      <c r="G22" s="1074"/>
      <c r="H22" s="1074"/>
      <c r="I22" s="1074"/>
    </row>
    <row r="23" spans="1:9" ht="1" hidden="1" customHeight="1">
      <c r="A23" s="1078"/>
      <c r="B23" s="1078"/>
      <c r="C23" s="41"/>
      <c r="D23" s="41"/>
      <c r="E23" s="1077"/>
      <c r="F23" s="1074" t="s">
        <v>338</v>
      </c>
      <c r="G23" s="1074"/>
      <c r="H23" s="1074"/>
      <c r="I23" s="1074"/>
    </row>
    <row r="24" spans="1:9" ht="51" customHeight="1">
      <c r="A24" s="957" t="s">
        <v>481</v>
      </c>
      <c r="B24" s="957"/>
      <c r="C24" s="957"/>
      <c r="D24" s="957"/>
      <c r="E24" s="957"/>
      <c r="F24" s="1074" t="s">
        <v>480</v>
      </c>
      <c r="G24" s="1074"/>
      <c r="H24" s="1074"/>
      <c r="I24" s="1074"/>
    </row>
    <row r="25" spans="1:9" ht="15" customHeight="1">
      <c r="A25" s="955"/>
      <c r="B25" s="955"/>
      <c r="C25" s="955"/>
      <c r="D25" s="955"/>
      <c r="E25" s="955"/>
    </row>
    <row r="26" spans="1:9" ht="46" customHeight="1">
      <c r="A26" s="1079" t="s">
        <v>130</v>
      </c>
      <c r="B26" s="1079"/>
      <c r="C26" s="1079"/>
      <c r="D26" s="1079"/>
      <c r="E26" s="1079"/>
      <c r="F26" s="1079"/>
      <c r="G26" s="1079"/>
      <c r="H26" s="1079"/>
      <c r="I26" s="1079"/>
    </row>
    <row r="27" spans="1:9" ht="46" customHeight="1">
      <c r="A27" s="638"/>
      <c r="B27" s="638"/>
      <c r="C27" s="638"/>
      <c r="D27" s="638"/>
      <c r="E27" s="638"/>
      <c r="F27" s="956"/>
      <c r="G27" s="956"/>
      <c r="H27" s="956"/>
      <c r="I27" s="956"/>
    </row>
    <row r="28" spans="1:9" ht="85" customHeight="1">
      <c r="A28" s="1073"/>
      <c r="B28" s="1073"/>
      <c r="C28" s="1073"/>
      <c r="D28" s="1073"/>
      <c r="E28" s="15"/>
    </row>
    <row r="29" spans="1:9" ht="13" customHeight="1">
      <c r="B29" s="1080"/>
      <c r="C29" s="1080"/>
      <c r="D29" s="1080"/>
      <c r="E29" s="129"/>
    </row>
    <row r="30" spans="1:9">
      <c r="A30" s="37"/>
      <c r="B30" s="14"/>
      <c r="C30" s="14"/>
      <c r="D30" s="14"/>
      <c r="E30" s="14"/>
    </row>
    <row r="31" spans="1:9">
      <c r="A31" s="1073"/>
      <c r="B31" s="1073"/>
      <c r="C31" s="1073"/>
      <c r="D31" s="1073"/>
      <c r="E31" s="15"/>
      <c r="F31" s="637"/>
      <c r="G31" s="637"/>
      <c r="H31" s="637"/>
      <c r="I31" s="637"/>
    </row>
    <row r="32" spans="1:9">
      <c r="A32" s="637"/>
      <c r="B32" s="637"/>
      <c r="C32" s="637"/>
      <c r="D32" s="637"/>
      <c r="E32" s="637"/>
    </row>
    <row r="33" spans="1:9">
      <c r="A33" s="1073"/>
      <c r="B33" s="1073"/>
      <c r="C33" s="1073"/>
      <c r="D33" s="1073"/>
      <c r="E33" s="15"/>
    </row>
    <row r="34" spans="1:9">
      <c r="A34" s="1073"/>
      <c r="B34" s="1073"/>
      <c r="C34" s="1073"/>
      <c r="D34" s="1073"/>
      <c r="E34" s="15"/>
      <c r="H34" s="1073"/>
      <c r="I34" s="1073"/>
    </row>
    <row r="35" spans="1:9">
      <c r="A35" s="1073"/>
      <c r="B35" s="1073"/>
      <c r="C35" s="1073"/>
      <c r="D35" s="1073"/>
      <c r="E35" s="15"/>
      <c r="H35" s="1073"/>
      <c r="I35" s="1073"/>
    </row>
    <row r="36" spans="1:9">
      <c r="A36" s="1073"/>
      <c r="B36" s="1073"/>
      <c r="C36" s="1073"/>
      <c r="D36" s="1073"/>
      <c r="E36" s="15"/>
      <c r="H36" s="1073"/>
      <c r="I36" s="1073"/>
    </row>
    <row r="37" spans="1:9">
      <c r="A37" s="1073"/>
      <c r="B37" s="1073"/>
      <c r="C37" s="1073"/>
      <c r="D37" s="1073"/>
      <c r="E37" s="15"/>
      <c r="H37" s="1073"/>
      <c r="I37" s="1073"/>
    </row>
    <row r="38" spans="1:9">
      <c r="A38" s="1073"/>
      <c r="B38" s="1073"/>
      <c r="C38" s="1073"/>
      <c r="D38" s="1073"/>
      <c r="E38" s="15"/>
      <c r="H38" s="1073"/>
      <c r="I38" s="1073"/>
    </row>
    <row r="39" spans="1:9">
      <c r="A39" s="1073"/>
      <c r="B39" s="1073"/>
      <c r="C39" s="1073"/>
      <c r="D39" s="1073"/>
      <c r="E39" s="15"/>
      <c r="H39" s="1073"/>
      <c r="I39" s="1073"/>
    </row>
    <row r="40" spans="1:9">
      <c r="A40" s="1073"/>
      <c r="B40" s="1073"/>
      <c r="C40" s="1073"/>
      <c r="D40" s="1073"/>
      <c r="E40" s="15"/>
      <c r="H40" s="1073"/>
      <c r="I40" s="1073"/>
    </row>
    <row r="41" spans="1:9">
      <c r="A41" s="37"/>
      <c r="B41" s="15"/>
      <c r="C41" s="15"/>
      <c r="D41" s="15"/>
      <c r="E41" s="15"/>
      <c r="H41" s="1073"/>
      <c r="I41" s="1073"/>
    </row>
    <row r="42" spans="1:9" ht="18">
      <c r="A42" s="41"/>
      <c r="B42" s="1080"/>
      <c r="C42" s="1080"/>
      <c r="D42" s="1080"/>
      <c r="E42" s="39"/>
      <c r="H42" s="1073"/>
      <c r="I42" s="1073"/>
    </row>
    <row r="43" spans="1:9">
      <c r="A43" s="37"/>
      <c r="B43" s="14"/>
      <c r="C43" s="14"/>
      <c r="D43" s="14"/>
      <c r="E43" s="14"/>
      <c r="H43" s="1073"/>
      <c r="I43" s="1073"/>
    </row>
    <row r="44" spans="1:9" ht="16">
      <c r="A44" s="1083"/>
      <c r="B44" s="1083"/>
      <c r="C44" s="1083"/>
      <c r="D44" s="1083"/>
      <c r="E44" s="35"/>
    </row>
    <row r="45" spans="1:9" ht="18">
      <c r="A45" s="1082"/>
      <c r="B45" s="1082"/>
      <c r="C45" s="1082"/>
      <c r="D45" s="1082"/>
      <c r="E45" s="39"/>
    </row>
    <row r="46" spans="1:9">
      <c r="A46" s="37"/>
      <c r="B46" s="14"/>
      <c r="C46" s="14"/>
      <c r="D46" s="14"/>
      <c r="E46" s="14"/>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3" spans="1:9">
      <c r="I53" s="40"/>
    </row>
    <row r="54" spans="1:9">
      <c r="I54" s="38"/>
    </row>
    <row r="56" spans="1:9">
      <c r="I56" s="32"/>
    </row>
    <row r="57" spans="1:9">
      <c r="I57" s="1081"/>
    </row>
    <row r="58" spans="1:9">
      <c r="I58" s="1081"/>
    </row>
    <row r="59" spans="1:9">
      <c r="I59" s="1081"/>
    </row>
  </sheetData>
  <sheetProtection sheet="1" objects="1" scenarios="1"/>
  <mergeCells count="53">
    <mergeCell ref="A8:I8"/>
    <mergeCell ref="F15:I15"/>
    <mergeCell ref="F16:I16"/>
    <mergeCell ref="A6:I6"/>
    <mergeCell ref="A15:D15"/>
    <mergeCell ref="A7:I7"/>
    <mergeCell ref="A12:I12"/>
    <mergeCell ref="A13:I13"/>
    <mergeCell ref="A11:I11"/>
    <mergeCell ref="A10:I10"/>
    <mergeCell ref="M3:U3"/>
    <mergeCell ref="A1:I1"/>
    <mergeCell ref="A4:I4"/>
    <mergeCell ref="A3:I3"/>
    <mergeCell ref="A5:I5"/>
    <mergeCell ref="A2:I2"/>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H41:I41"/>
    <mergeCell ref="H42:I42"/>
    <mergeCell ref="B29:D29"/>
    <mergeCell ref="H34:I34"/>
    <mergeCell ref="H35:I35"/>
    <mergeCell ref="H38:I38"/>
    <mergeCell ref="H39:I39"/>
    <mergeCell ref="H40:I40"/>
    <mergeCell ref="A28:D28"/>
    <mergeCell ref="F17:I17"/>
    <mergeCell ref="A9:I9"/>
    <mergeCell ref="F24:I24"/>
    <mergeCell ref="F23:I23"/>
    <mergeCell ref="F18:I20"/>
    <mergeCell ref="F21:I22"/>
    <mergeCell ref="A16:D16"/>
    <mergeCell ref="A17:D19"/>
    <mergeCell ref="E17:E19"/>
    <mergeCell ref="A20:B23"/>
    <mergeCell ref="E20:E23"/>
    <mergeCell ref="A26:I26"/>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5" zoomScale="130" zoomScaleNormal="130" workbookViewId="0">
      <selection activeCell="B48" sqref="B4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03" t="s">
        <v>280</v>
      </c>
      <c r="B1" s="1109" t="s">
        <v>272</v>
      </c>
      <c r="C1" s="1109"/>
      <c r="D1" s="1109"/>
      <c r="E1" s="1109"/>
      <c r="F1" s="1109"/>
      <c r="G1" s="1109"/>
      <c r="H1" s="1109"/>
      <c r="I1" s="1110"/>
    </row>
    <row r="2" spans="1:9" ht="16" thickBot="1">
      <c r="A2" s="1104"/>
      <c r="B2" s="1111"/>
      <c r="C2" s="1111"/>
      <c r="D2" s="1111"/>
      <c r="E2" s="1111"/>
      <c r="F2" s="1111"/>
      <c r="G2" s="1111"/>
      <c r="H2" s="1111"/>
      <c r="I2" s="1112"/>
    </row>
    <row r="3" spans="1:9" ht="42" customHeight="1" thickBot="1">
      <c r="A3" s="1104"/>
      <c r="B3" s="1095" t="s">
        <v>283</v>
      </c>
      <c r="C3" s="1096"/>
      <c r="D3" s="1096"/>
      <c r="E3" s="1096"/>
      <c r="F3" s="1096"/>
      <c r="G3" s="1096"/>
      <c r="H3" s="1096"/>
      <c r="I3" s="1097"/>
    </row>
    <row r="4" spans="1:9" ht="15" customHeight="1">
      <c r="A4" s="1104"/>
      <c r="B4" s="515" t="s">
        <v>270</v>
      </c>
      <c r="C4" s="545" t="s">
        <v>255</v>
      </c>
      <c r="D4" s="546" t="s">
        <v>256</v>
      </c>
      <c r="E4" s="546" t="s">
        <v>257</v>
      </c>
      <c r="F4" s="545" t="s">
        <v>258</v>
      </c>
      <c r="G4" s="1124" t="s">
        <v>287</v>
      </c>
      <c r="H4" s="1124" t="s">
        <v>289</v>
      </c>
      <c r="I4" s="1126" t="s">
        <v>263</v>
      </c>
    </row>
    <row r="5" spans="1:9" ht="46" thickBot="1">
      <c r="A5" s="1104"/>
      <c r="B5" s="516" t="s">
        <v>269</v>
      </c>
      <c r="C5" s="547" t="s">
        <v>274</v>
      </c>
      <c r="D5" s="547" t="s">
        <v>275</v>
      </c>
      <c r="E5" s="547" t="s">
        <v>276</v>
      </c>
      <c r="F5" s="547" t="s">
        <v>277</v>
      </c>
      <c r="G5" s="1125"/>
      <c r="H5" s="1125"/>
      <c r="I5" s="1127"/>
    </row>
    <row r="6" spans="1:9">
      <c r="A6" s="1104"/>
      <c r="B6" s="531" t="s">
        <v>259</v>
      </c>
      <c r="C6" s="539" t="s">
        <v>260</v>
      </c>
      <c r="D6" s="539" t="s">
        <v>260</v>
      </c>
      <c r="E6" s="539" t="s">
        <v>260</v>
      </c>
      <c r="F6" s="539" t="s">
        <v>260</v>
      </c>
      <c r="G6" s="510" t="s">
        <v>265</v>
      </c>
      <c r="H6" s="510" t="s">
        <v>265</v>
      </c>
      <c r="I6" s="511" t="s">
        <v>265</v>
      </c>
    </row>
    <row r="7" spans="1:9">
      <c r="A7" s="1104"/>
      <c r="B7" s="532" t="s">
        <v>282</v>
      </c>
      <c r="C7" s="537" t="s">
        <v>260</v>
      </c>
      <c r="D7" s="537" t="s">
        <v>260</v>
      </c>
      <c r="E7" s="537" t="s">
        <v>260</v>
      </c>
      <c r="F7" s="537" t="s">
        <v>260</v>
      </c>
      <c r="G7" s="537" t="s">
        <v>266</v>
      </c>
      <c r="H7" s="509" t="s">
        <v>265</v>
      </c>
      <c r="I7" s="512" t="s">
        <v>266</v>
      </c>
    </row>
    <row r="8" spans="1:9">
      <c r="A8" s="1104"/>
      <c r="B8" s="532" t="s">
        <v>13</v>
      </c>
      <c r="C8" s="537" t="s">
        <v>260</v>
      </c>
      <c r="D8" s="537" t="s">
        <v>260</v>
      </c>
      <c r="E8" s="537" t="s">
        <v>260</v>
      </c>
      <c r="F8" s="537" t="s">
        <v>260</v>
      </c>
      <c r="G8" s="537" t="s">
        <v>265</v>
      </c>
      <c r="H8" s="537" t="s">
        <v>266</v>
      </c>
      <c r="I8" s="512" t="s">
        <v>265</v>
      </c>
    </row>
    <row r="9" spans="1:9">
      <c r="A9" s="1104"/>
      <c r="B9" s="532" t="s">
        <v>261</v>
      </c>
      <c r="C9" s="537" t="s">
        <v>260</v>
      </c>
      <c r="D9" s="537" t="s">
        <v>260</v>
      </c>
      <c r="E9" s="537" t="s">
        <v>260</v>
      </c>
      <c r="F9" s="537"/>
      <c r="G9" s="537" t="s">
        <v>266</v>
      </c>
      <c r="H9" s="537" t="s">
        <v>265</v>
      </c>
      <c r="I9" s="512" t="s">
        <v>265</v>
      </c>
    </row>
    <row r="10" spans="1:9">
      <c r="A10" s="1104"/>
      <c r="B10" s="532" t="s">
        <v>262</v>
      </c>
      <c r="C10" s="537" t="s">
        <v>260</v>
      </c>
      <c r="D10" s="537" t="s">
        <v>260</v>
      </c>
      <c r="E10" s="537" t="s">
        <v>260</v>
      </c>
      <c r="F10" s="537" t="s">
        <v>260</v>
      </c>
      <c r="G10" s="537" t="s">
        <v>265</v>
      </c>
      <c r="H10" s="537" t="s">
        <v>265</v>
      </c>
      <c r="I10" s="512" t="s">
        <v>265</v>
      </c>
    </row>
    <row r="11" spans="1:9">
      <c r="A11" s="1104"/>
      <c r="B11" s="532" t="s">
        <v>429</v>
      </c>
      <c r="C11" s="776" t="s">
        <v>260</v>
      </c>
      <c r="D11" s="776" t="s">
        <v>260</v>
      </c>
      <c r="E11" s="776" t="s">
        <v>260</v>
      </c>
      <c r="F11" s="776" t="s">
        <v>260</v>
      </c>
      <c r="G11" s="777" t="s">
        <v>265</v>
      </c>
      <c r="H11" s="777" t="s">
        <v>265</v>
      </c>
      <c r="I11" s="778" t="s">
        <v>265</v>
      </c>
    </row>
    <row r="12" spans="1:9">
      <c r="A12" s="1104"/>
      <c r="B12" s="1128" t="s">
        <v>295</v>
      </c>
      <c r="C12" s="1123"/>
      <c r="D12" s="1123"/>
      <c r="E12" s="1123"/>
      <c r="F12" s="1123" t="s">
        <v>268</v>
      </c>
      <c r="G12" s="1115" t="s">
        <v>265</v>
      </c>
      <c r="H12" s="1115" t="s">
        <v>265</v>
      </c>
      <c r="I12" s="1117" t="s">
        <v>265</v>
      </c>
    </row>
    <row r="13" spans="1:9">
      <c r="A13" s="1104"/>
      <c r="B13" s="1128"/>
      <c r="C13" s="1123"/>
      <c r="D13" s="1123"/>
      <c r="E13" s="1123"/>
      <c r="F13" s="1123"/>
      <c r="G13" s="1116"/>
      <c r="H13" s="1116"/>
      <c r="I13" s="1118"/>
    </row>
    <row r="14" spans="1:9" ht="32">
      <c r="A14" s="1104"/>
      <c r="B14" s="536" t="s">
        <v>300</v>
      </c>
      <c r="C14" s="537" t="s">
        <v>268</v>
      </c>
      <c r="D14" s="537" t="s">
        <v>268</v>
      </c>
      <c r="E14" s="537" t="s">
        <v>268</v>
      </c>
      <c r="F14" s="537" t="s">
        <v>268</v>
      </c>
      <c r="G14" s="539" t="s">
        <v>265</v>
      </c>
      <c r="H14" s="539" t="s">
        <v>265</v>
      </c>
      <c r="I14" s="540" t="s">
        <v>265</v>
      </c>
    </row>
    <row r="15" spans="1:9">
      <c r="A15" s="1104"/>
      <c r="B15" s="532" t="s">
        <v>271</v>
      </c>
      <c r="C15" s="537" t="s">
        <v>260</v>
      </c>
      <c r="D15" s="537" t="s">
        <v>260</v>
      </c>
      <c r="E15" s="537" t="s">
        <v>260</v>
      </c>
      <c r="F15" s="537" t="s">
        <v>260</v>
      </c>
      <c r="G15" s="537" t="s">
        <v>265</v>
      </c>
      <c r="H15" s="537" t="s">
        <v>266</v>
      </c>
      <c r="I15" s="512" t="s">
        <v>265</v>
      </c>
    </row>
    <row r="16" spans="1:9">
      <c r="A16" s="1104"/>
      <c r="B16" s="1121" t="s">
        <v>509</v>
      </c>
      <c r="C16" s="1122" t="s">
        <v>260</v>
      </c>
      <c r="D16" s="1123" t="s">
        <v>260</v>
      </c>
      <c r="E16" s="1123" t="s">
        <v>260</v>
      </c>
      <c r="F16" s="1122" t="s">
        <v>260</v>
      </c>
      <c r="G16" s="1115" t="s">
        <v>266</v>
      </c>
      <c r="H16" s="1115" t="s">
        <v>266</v>
      </c>
      <c r="I16" s="1117" t="s">
        <v>265</v>
      </c>
    </row>
    <row r="17" spans="1:9" ht="1" customHeight="1">
      <c r="A17" s="1104"/>
      <c r="B17" s="1121"/>
      <c r="C17" s="1122"/>
      <c r="D17" s="1123"/>
      <c r="E17" s="1123"/>
      <c r="F17" s="1122"/>
      <c r="G17" s="1116"/>
      <c r="H17" s="1116"/>
      <c r="I17" s="1118"/>
    </row>
    <row r="18" spans="1:9" ht="45">
      <c r="A18" s="1104"/>
      <c r="B18" s="532" t="s">
        <v>284</v>
      </c>
      <c r="C18" s="537" t="s">
        <v>260</v>
      </c>
      <c r="D18" s="537" t="s">
        <v>260</v>
      </c>
      <c r="E18" s="537" t="s">
        <v>260</v>
      </c>
      <c r="F18" s="537" t="s">
        <v>260</v>
      </c>
      <c r="G18" s="665" t="s">
        <v>346</v>
      </c>
      <c r="H18" s="537" t="s">
        <v>266</v>
      </c>
      <c r="I18" s="512" t="s">
        <v>265</v>
      </c>
    </row>
    <row r="19" spans="1:9">
      <c r="A19" s="1104"/>
      <c r="B19" s="532" t="s">
        <v>67</v>
      </c>
      <c r="C19" s="537" t="s">
        <v>260</v>
      </c>
      <c r="D19" s="537" t="s">
        <v>260</v>
      </c>
      <c r="E19" s="537" t="s">
        <v>260</v>
      </c>
      <c r="F19" s="537" t="s">
        <v>260</v>
      </c>
      <c r="G19" s="537" t="s">
        <v>266</v>
      </c>
      <c r="H19" s="538" t="s">
        <v>266</v>
      </c>
      <c r="I19" s="512" t="s">
        <v>266</v>
      </c>
    </row>
    <row r="20" spans="1:9">
      <c r="A20" s="1104"/>
      <c r="B20" s="532" t="s">
        <v>267</v>
      </c>
      <c r="C20" s="537" t="s">
        <v>260</v>
      </c>
      <c r="D20" s="537" t="s">
        <v>260</v>
      </c>
      <c r="E20" s="537" t="s">
        <v>260</v>
      </c>
      <c r="F20" s="537" t="s">
        <v>260</v>
      </c>
      <c r="G20" s="537" t="s">
        <v>265</v>
      </c>
      <c r="H20" s="1119" t="s">
        <v>288</v>
      </c>
      <c r="I20" s="512" t="s">
        <v>265</v>
      </c>
    </row>
    <row r="21" spans="1:9" ht="16" thickBot="1">
      <c r="A21" s="1104"/>
      <c r="B21" s="533" t="s">
        <v>264</v>
      </c>
      <c r="C21" s="513" t="s">
        <v>260</v>
      </c>
      <c r="D21" s="513" t="s">
        <v>260</v>
      </c>
      <c r="E21" s="513" t="s">
        <v>260</v>
      </c>
      <c r="F21" s="513" t="s">
        <v>260</v>
      </c>
      <c r="G21" s="513" t="s">
        <v>265</v>
      </c>
      <c r="H21" s="1120"/>
      <c r="I21" s="514" t="s">
        <v>265</v>
      </c>
    </row>
    <row r="22" spans="1:9">
      <c r="A22" s="1104"/>
      <c r="B22" s="534" t="s">
        <v>246</v>
      </c>
      <c r="C22" s="524"/>
      <c r="D22" s="524"/>
      <c r="E22" s="525"/>
      <c r="F22" s="525"/>
      <c r="G22" s="526"/>
      <c r="H22" s="526"/>
      <c r="I22" s="527"/>
    </row>
    <row r="23" spans="1:9">
      <c r="A23" s="1104"/>
      <c r="B23" s="541" t="s">
        <v>247</v>
      </c>
      <c r="C23" s="541"/>
      <c r="D23" s="541"/>
      <c r="E23" s="542"/>
      <c r="F23" s="542"/>
      <c r="G23" s="59"/>
      <c r="H23" s="59"/>
      <c r="I23" s="528"/>
    </row>
    <row r="24" spans="1:9">
      <c r="A24" s="1104"/>
      <c r="B24" s="541" t="s">
        <v>467</v>
      </c>
      <c r="C24" s="541"/>
      <c r="D24" s="541"/>
      <c r="E24" s="542"/>
      <c r="F24" s="542"/>
      <c r="G24" s="59"/>
      <c r="H24" s="59"/>
      <c r="I24" s="528"/>
    </row>
    <row r="25" spans="1:9">
      <c r="A25" s="1104"/>
      <c r="B25" s="1113" t="s">
        <v>468</v>
      </c>
      <c r="C25" s="1113"/>
      <c r="D25" s="1113"/>
      <c r="E25" s="1113"/>
      <c r="F25" s="1113"/>
      <c r="G25" s="1113"/>
      <c r="H25" s="1113"/>
      <c r="I25" s="1114"/>
    </row>
    <row r="26" spans="1:9">
      <c r="A26" s="1104"/>
      <c r="B26" s="1113"/>
      <c r="C26" s="1113"/>
      <c r="D26" s="1113"/>
      <c r="E26" s="1113"/>
      <c r="F26" s="1113"/>
      <c r="G26" s="1113"/>
      <c r="H26" s="1113"/>
      <c r="I26" s="1114"/>
    </row>
    <row r="27" spans="1:9" ht="16" thickBot="1">
      <c r="A27" s="1105"/>
      <c r="B27" s="529"/>
      <c r="C27" s="529"/>
      <c r="D27" s="529"/>
      <c r="E27" s="529"/>
      <c r="F27" s="529"/>
      <c r="G27" s="529"/>
      <c r="H27" s="529"/>
      <c r="I27" s="530"/>
    </row>
    <row r="28" spans="1:9">
      <c r="B28" s="517"/>
      <c r="C28" s="517"/>
      <c r="D28" s="517"/>
      <c r="E28" s="517"/>
      <c r="F28" s="517"/>
      <c r="G28" s="517"/>
      <c r="H28" s="517"/>
      <c r="I28" s="517"/>
    </row>
    <row r="29" spans="1:9" ht="16" thickBot="1">
      <c r="B29" s="504"/>
      <c r="C29" s="504"/>
      <c r="D29" s="504"/>
      <c r="E29" s="80"/>
      <c r="F29" s="507"/>
      <c r="G29" s="508"/>
      <c r="H29" s="508"/>
      <c r="I29" s="508"/>
    </row>
    <row r="30" spans="1:9" ht="22" customHeight="1" thickBot="1">
      <c r="A30" s="1103" t="s">
        <v>279</v>
      </c>
      <c r="B30" s="1101" t="s">
        <v>273</v>
      </c>
      <c r="C30" s="1101"/>
      <c r="D30" s="1101"/>
      <c r="E30" s="1101"/>
      <c r="F30" s="1101"/>
      <c r="G30" s="1101"/>
      <c r="H30" s="1101"/>
      <c r="I30" s="1102"/>
    </row>
    <row r="31" spans="1:9" ht="37" customHeight="1" thickBot="1">
      <c r="A31" s="1104"/>
      <c r="B31" s="1098" t="s">
        <v>281</v>
      </c>
      <c r="C31" s="1099"/>
      <c r="D31" s="1099"/>
      <c r="E31" s="1099"/>
      <c r="F31" s="1099"/>
      <c r="G31" s="1099"/>
      <c r="H31" s="1099"/>
      <c r="I31" s="1100"/>
    </row>
    <row r="32" spans="1:9" ht="17" thickBot="1">
      <c r="A32" s="1104"/>
      <c r="B32" s="518" t="s">
        <v>291</v>
      </c>
      <c r="C32" s="518"/>
      <c r="D32" s="518"/>
      <c r="E32" s="518"/>
      <c r="F32" s="518"/>
      <c r="G32" s="1147" t="s">
        <v>57</v>
      </c>
      <c r="H32" s="1148"/>
      <c r="I32" s="1149"/>
    </row>
    <row r="33" spans="1:11">
      <c r="A33" s="1104"/>
      <c r="B33" s="519" t="s">
        <v>249</v>
      </c>
      <c r="C33" s="519"/>
      <c r="D33" s="519"/>
      <c r="E33" s="519"/>
      <c r="F33" s="519"/>
      <c r="G33" s="1144" t="s">
        <v>285</v>
      </c>
      <c r="H33" s="1145"/>
      <c r="I33" s="1146"/>
    </row>
    <row r="34" spans="1:11">
      <c r="A34" s="1104"/>
      <c r="B34" s="520" t="s">
        <v>301</v>
      </c>
      <c r="C34" s="520"/>
      <c r="D34" s="520"/>
      <c r="E34" s="520"/>
      <c r="F34" s="520"/>
      <c r="G34" s="1135" t="s">
        <v>286</v>
      </c>
      <c r="H34" s="1136"/>
      <c r="I34" s="1137"/>
    </row>
    <row r="35" spans="1:11" ht="16" thickBot="1">
      <c r="A35" s="1104"/>
      <c r="B35" s="521" t="s">
        <v>302</v>
      </c>
      <c r="C35" s="521"/>
      <c r="D35" s="521"/>
      <c r="E35" s="521"/>
      <c r="F35" s="521"/>
      <c r="G35" s="1138">
        <v>48</v>
      </c>
      <c r="H35" s="1139"/>
      <c r="I35" s="1140"/>
    </row>
    <row r="36" spans="1:11" ht="16" thickBot="1">
      <c r="A36" s="1104"/>
      <c r="B36" s="1106"/>
      <c r="C36" s="1107"/>
      <c r="D36" s="1107"/>
      <c r="E36" s="1107"/>
      <c r="F36" s="1107"/>
      <c r="G36" s="1107"/>
      <c r="H36" s="1107"/>
      <c r="I36" s="1108"/>
      <c r="J36" s="535"/>
      <c r="K36" s="535"/>
    </row>
    <row r="37" spans="1:11" ht="17" thickBot="1">
      <c r="A37" s="1104"/>
      <c r="B37" s="518" t="s">
        <v>290</v>
      </c>
      <c r="C37" s="518"/>
      <c r="D37" s="518"/>
      <c r="E37" s="518"/>
      <c r="F37" s="518"/>
      <c r="G37" s="1141" t="s">
        <v>57</v>
      </c>
      <c r="H37" s="1142"/>
      <c r="I37" s="1143"/>
    </row>
    <row r="38" spans="1:11" ht="16">
      <c r="A38" s="1104"/>
      <c r="B38" s="522" t="s">
        <v>251</v>
      </c>
      <c r="C38" s="522"/>
      <c r="D38" s="522"/>
      <c r="E38" s="522"/>
      <c r="F38" s="522"/>
      <c r="G38" s="1144" t="s">
        <v>529</v>
      </c>
      <c r="H38" s="1145"/>
      <c r="I38" s="1146"/>
    </row>
    <row r="39" spans="1:11">
      <c r="A39" s="1104"/>
      <c r="B39" s="520" t="s">
        <v>470</v>
      </c>
      <c r="C39" s="520"/>
      <c r="D39" s="520"/>
      <c r="E39" s="520"/>
      <c r="F39" s="520"/>
      <c r="G39" s="1135" t="s">
        <v>250</v>
      </c>
      <c r="H39" s="1136"/>
      <c r="I39" s="1137"/>
    </row>
    <row r="40" spans="1:11">
      <c r="A40" s="1104"/>
      <c r="B40" s="520" t="s">
        <v>497</v>
      </c>
      <c r="C40" s="520"/>
      <c r="D40" s="520"/>
      <c r="E40" s="520"/>
      <c r="F40" s="520"/>
      <c r="G40" s="1135" t="s">
        <v>465</v>
      </c>
      <c r="H40" s="1136"/>
      <c r="I40" s="1137"/>
    </row>
    <row r="41" spans="1:11" ht="16" thickBot="1">
      <c r="A41" s="1104"/>
      <c r="B41" s="521" t="s">
        <v>498</v>
      </c>
      <c r="C41" s="521"/>
      <c r="D41" s="521"/>
      <c r="E41" s="521"/>
      <c r="F41" s="521"/>
      <c r="G41" s="1138" t="s">
        <v>466</v>
      </c>
      <c r="H41" s="1139"/>
      <c r="I41" s="1140"/>
    </row>
    <row r="42" spans="1:11" ht="16" thickBot="1">
      <c r="A42" s="1104"/>
      <c r="B42" s="1106"/>
      <c r="C42" s="1107"/>
      <c r="D42" s="1107"/>
      <c r="E42" s="1107"/>
      <c r="F42" s="1107"/>
      <c r="G42" s="1107"/>
      <c r="H42" s="1107"/>
      <c r="I42" s="1108"/>
      <c r="J42" s="535"/>
      <c r="K42" s="535"/>
    </row>
    <row r="43" spans="1:11" ht="16">
      <c r="A43" s="1104"/>
      <c r="B43" s="505" t="s">
        <v>292</v>
      </c>
      <c r="C43" s="505"/>
      <c r="D43" s="505"/>
      <c r="E43" s="505"/>
      <c r="F43" s="505"/>
      <c r="G43" s="1129" t="s">
        <v>254</v>
      </c>
      <c r="H43" s="1130"/>
      <c r="I43" s="1131"/>
    </row>
    <row r="44" spans="1:11">
      <c r="A44" s="1104"/>
      <c r="B44" s="506" t="s">
        <v>293</v>
      </c>
      <c r="C44" s="506"/>
      <c r="D44" s="506"/>
      <c r="E44" s="506"/>
      <c r="F44" s="506"/>
      <c r="G44" s="1132"/>
      <c r="H44" s="1133"/>
      <c r="I44" s="1134"/>
    </row>
    <row r="45" spans="1:11">
      <c r="A45" s="1104"/>
      <c r="B45" s="523" t="s">
        <v>251</v>
      </c>
      <c r="C45" s="523"/>
      <c r="D45" s="523"/>
      <c r="E45" s="523"/>
      <c r="F45" s="523"/>
      <c r="G45" s="1135" t="s">
        <v>252</v>
      </c>
      <c r="H45" s="1136"/>
      <c r="I45" s="1137"/>
    </row>
    <row r="46" spans="1:11" ht="16" thickBot="1">
      <c r="A46" s="1105"/>
      <c r="B46" s="281" t="s">
        <v>499</v>
      </c>
      <c r="C46" s="281"/>
      <c r="D46" s="281"/>
      <c r="E46" s="281"/>
      <c r="F46" s="281"/>
      <c r="G46" s="1138" t="s">
        <v>253</v>
      </c>
      <c r="H46" s="1139"/>
      <c r="I46" s="1140"/>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22"/>
  <sheetViews>
    <sheetView view="pageBreakPreview" topLeftCell="A51" zoomScale="120" zoomScaleSheetLayoutView="120" workbookViewId="0">
      <selection activeCell="G167" sqref="G167"/>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6" t="s">
        <v>19</v>
      </c>
      <c r="B1" s="1267"/>
      <c r="C1" s="1267"/>
      <c r="D1" s="1267"/>
      <c r="E1" s="1267"/>
      <c r="F1" s="1267"/>
      <c r="G1" s="1267"/>
      <c r="H1" s="1267"/>
      <c r="I1" s="1268"/>
      <c r="J1" s="42"/>
    </row>
    <row r="2" spans="1:22" ht="23" customHeight="1">
      <c r="A2" s="1279" t="s">
        <v>6</v>
      </c>
      <c r="B2" s="1280"/>
      <c r="C2" s="1280"/>
      <c r="D2" s="1280"/>
      <c r="E2" s="1280"/>
      <c r="F2" s="1280"/>
      <c r="G2" s="1280"/>
      <c r="H2" s="1280"/>
      <c r="I2" s="1281"/>
    </row>
    <row r="3" spans="1:22" ht="24" customHeight="1" thickBot="1">
      <c r="A3" s="1295" t="str">
        <f>'Forside 1'!A6:I6</f>
        <v>Gældende fra 1. august 2022</v>
      </c>
      <c r="B3" s="1296"/>
      <c r="C3" s="1296"/>
      <c r="D3" s="1296"/>
      <c r="E3" s="1296"/>
      <c r="F3" s="1296"/>
      <c r="G3" s="1296"/>
      <c r="H3" s="1296"/>
      <c r="I3" s="1297"/>
      <c r="N3" s="79"/>
      <c r="O3" s="79"/>
      <c r="P3" s="79"/>
      <c r="Q3" s="79"/>
      <c r="R3" s="79"/>
      <c r="S3" s="79"/>
      <c r="T3" s="79"/>
      <c r="U3" s="79"/>
      <c r="V3" s="79"/>
    </row>
    <row r="4" spans="1:22" ht="20" customHeight="1" thickBot="1">
      <c r="A4" s="44"/>
      <c r="B4" s="44"/>
      <c r="C4" s="44"/>
      <c r="D4" s="44"/>
      <c r="E4" s="44"/>
      <c r="F4" s="44"/>
      <c r="G4" s="44"/>
      <c r="H4" s="44"/>
      <c r="I4" s="44"/>
      <c r="N4" s="1294"/>
      <c r="O4" s="1294"/>
      <c r="P4" s="1294"/>
      <c r="Q4" s="1294"/>
      <c r="R4" s="1294"/>
      <c r="S4" s="1294"/>
      <c r="T4" s="1294"/>
      <c r="U4" s="1294"/>
      <c r="V4" s="1294"/>
    </row>
    <row r="5" spans="1:22" ht="20" customHeight="1">
      <c r="A5" s="1174" t="s">
        <v>259</v>
      </c>
      <c r="B5" s="1175"/>
      <c r="C5" s="1175"/>
      <c r="D5" s="1175"/>
      <c r="E5" s="1175"/>
      <c r="F5" s="1175"/>
      <c r="G5" s="1175"/>
      <c r="H5" s="1176"/>
      <c r="I5" s="68"/>
      <c r="N5" s="79"/>
      <c r="O5" s="79"/>
      <c r="P5" s="79"/>
      <c r="Q5" s="79"/>
      <c r="R5" s="79"/>
      <c r="S5" s="79"/>
      <c r="T5" s="79"/>
      <c r="U5" s="79"/>
      <c r="V5" s="79"/>
    </row>
    <row r="6" spans="1:22" ht="20" customHeight="1" thickBot="1">
      <c r="A6" s="1263" t="s">
        <v>435</v>
      </c>
      <c r="B6" s="1264"/>
      <c r="C6" s="1264"/>
      <c r="D6" s="1264"/>
      <c r="E6" s="1264"/>
      <c r="F6" s="1264"/>
      <c r="G6" s="1264"/>
      <c r="H6" s="1265"/>
      <c r="I6" s="68"/>
      <c r="N6" s="79"/>
      <c r="O6" s="79"/>
      <c r="P6" s="79"/>
      <c r="Q6" s="79"/>
      <c r="R6" s="79"/>
      <c r="S6" s="79"/>
      <c r="T6" s="79"/>
      <c r="U6" s="79"/>
      <c r="V6" s="79"/>
    </row>
    <row r="7" spans="1:22" ht="24" customHeight="1" thickBot="1">
      <c r="A7" s="1304" t="s">
        <v>94</v>
      </c>
      <c r="B7" s="1301" t="s">
        <v>0</v>
      </c>
      <c r="C7" s="1153" t="s">
        <v>4</v>
      </c>
      <c r="D7" s="1153"/>
      <c r="E7" s="1201"/>
      <c r="F7" s="1298" t="s">
        <v>5</v>
      </c>
      <c r="G7" s="1299"/>
      <c r="H7" s="1300"/>
      <c r="I7" s="69"/>
      <c r="J7" s="27"/>
    </row>
    <row r="8" spans="1:22" ht="30">
      <c r="A8" s="1305"/>
      <c r="B8" s="1302"/>
      <c r="C8" s="345" t="s">
        <v>131</v>
      </c>
      <c r="D8" s="345" t="s">
        <v>340</v>
      </c>
      <c r="E8" s="345" t="s">
        <v>278</v>
      </c>
      <c r="F8" s="639" t="s">
        <v>131</v>
      </c>
      <c r="G8" s="639" t="s">
        <v>340</v>
      </c>
      <c r="H8" s="639" t="s">
        <v>278</v>
      </c>
      <c r="I8" s="56"/>
    </row>
    <row r="9" spans="1:22" ht="18" customHeight="1" thickBot="1">
      <c r="A9" s="1306"/>
      <c r="B9" s="1303"/>
      <c r="C9" s="346">
        <v>40999</v>
      </c>
      <c r="D9" s="346" t="str">
        <f>'Løntabel gældende fra'!$D$1</f>
        <v>01/04/2022</v>
      </c>
      <c r="E9" s="346" t="str">
        <f>'Løntabel gældende fra'!$D$1</f>
        <v>01/04/2022</v>
      </c>
      <c r="F9" s="347">
        <v>40999</v>
      </c>
      <c r="G9" s="346" t="str">
        <f>'Løntabel gældende fra'!$D$1</f>
        <v>01/04/2022</v>
      </c>
      <c r="H9" s="346" t="str">
        <f>'Løntabel gældende fra'!$D$1</f>
        <v>01/04/2022</v>
      </c>
      <c r="I9" s="67"/>
    </row>
    <row r="10" spans="1:22" ht="15" customHeight="1">
      <c r="A10" s="350" t="s">
        <v>1</v>
      </c>
      <c r="B10" s="351">
        <v>1</v>
      </c>
      <c r="C10" s="146">
        <v>279695</v>
      </c>
      <c r="D10" s="924">
        <f>ROUND(C10+(C10*'Løntabel gældende fra'!$D$7%),2)</f>
        <v>317203.21999999997</v>
      </c>
      <c r="E10" s="911">
        <f>ROUND(D10/12,2)</f>
        <v>26433.599999999999</v>
      </c>
      <c r="F10" s="146">
        <v>271288</v>
      </c>
      <c r="G10" s="147">
        <f>ROUND(F10+(F10*'Løntabel gældende fra'!$D$7%),2)</f>
        <v>307668.81</v>
      </c>
      <c r="H10" s="911">
        <f>ROUND(G10/12,2)</f>
        <v>25639.07</v>
      </c>
      <c r="I10" s="10"/>
    </row>
    <row r="11" spans="1:22" ht="15" customHeight="1">
      <c r="A11" s="352" t="s">
        <v>51</v>
      </c>
      <c r="B11" s="353">
        <v>2</v>
      </c>
      <c r="C11" s="148">
        <v>298044</v>
      </c>
      <c r="D11" s="454">
        <f>ROUND(C11+(C11*'Løntabel gældende fra'!$D$7%),2)</f>
        <v>338012.89</v>
      </c>
      <c r="E11" s="912">
        <f t="shared" ref="E11:E13" si="0">ROUND(D11/12,2)</f>
        <v>28167.74</v>
      </c>
      <c r="F11" s="148">
        <v>284395</v>
      </c>
      <c r="G11" s="915">
        <f>ROUND(F11+(F11*'Løntabel gældende fra'!$D$7%),2)</f>
        <v>322533.51</v>
      </c>
      <c r="H11" s="912">
        <f t="shared" ref="H11:H13" si="1">ROUND(G11/12,2)</f>
        <v>26877.79</v>
      </c>
      <c r="I11" s="10"/>
    </row>
    <row r="12" spans="1:22" ht="15" customHeight="1">
      <c r="A12" s="352" t="s">
        <v>2</v>
      </c>
      <c r="B12" s="353">
        <v>3</v>
      </c>
      <c r="C12" s="148">
        <v>325699</v>
      </c>
      <c r="D12" s="454">
        <f>ROUND(C12+(C12*'Løntabel gældende fra'!$D$7%),2)</f>
        <v>369376.54</v>
      </c>
      <c r="E12" s="912">
        <f t="shared" si="0"/>
        <v>30781.38</v>
      </c>
      <c r="F12" s="148">
        <v>295011</v>
      </c>
      <c r="G12" s="915">
        <f>ROUND(F12+(F12*'Løntabel gældende fra'!$D$7%),2)</f>
        <v>334573.15999999997</v>
      </c>
      <c r="H12" s="912">
        <f t="shared" si="1"/>
        <v>27881.1</v>
      </c>
      <c r="I12" s="10"/>
    </row>
    <row r="13" spans="1:22" ht="15" customHeight="1" thickBot="1">
      <c r="A13" s="354" t="s">
        <v>3</v>
      </c>
      <c r="B13" s="355">
        <v>4</v>
      </c>
      <c r="C13" s="152">
        <v>351388</v>
      </c>
      <c r="D13" s="917">
        <f>ROUND(C13+(C13*'Løntabel gældende fra'!$D$7%),2)</f>
        <v>398510.54</v>
      </c>
      <c r="E13" s="913">
        <f t="shared" si="0"/>
        <v>33209.21</v>
      </c>
      <c r="F13" s="152">
        <v>313754</v>
      </c>
      <c r="G13" s="916">
        <f>ROUND(F13+(F13*'Løntabel gældende fra'!$D$7%),2)</f>
        <v>355829.67</v>
      </c>
      <c r="H13" s="913">
        <f t="shared" si="1"/>
        <v>29652.47</v>
      </c>
      <c r="I13" s="10"/>
    </row>
    <row r="14" spans="1:22" ht="21" customHeight="1" thickBot="1">
      <c r="A14" s="8"/>
      <c r="B14" s="8"/>
      <c r="C14" s="9"/>
      <c r="D14" s="8"/>
      <c r="E14" s="8"/>
      <c r="F14" s="9"/>
      <c r="G14" s="8"/>
      <c r="H14" s="8"/>
      <c r="I14" s="10"/>
    </row>
    <row r="15" spans="1:22" ht="20" customHeight="1">
      <c r="A15" s="1174" t="s">
        <v>400</v>
      </c>
      <c r="B15" s="1175"/>
      <c r="C15" s="1175"/>
      <c r="D15" s="1175"/>
      <c r="E15" s="1175"/>
      <c r="F15" s="1175"/>
      <c r="G15" s="1175"/>
      <c r="H15" s="1176"/>
      <c r="I15" s="68"/>
    </row>
    <row r="16" spans="1:22" ht="20" customHeight="1" thickBot="1">
      <c r="A16" s="1263" t="s">
        <v>436</v>
      </c>
      <c r="B16" s="1264"/>
      <c r="C16" s="1264"/>
      <c r="D16" s="1264"/>
      <c r="E16" s="1264"/>
      <c r="F16" s="1264"/>
      <c r="G16" s="1264"/>
      <c r="H16" s="1265"/>
      <c r="I16" s="68"/>
    </row>
    <row r="17" spans="1:9" ht="23" customHeight="1" thickBot="1">
      <c r="A17" s="1183" t="s">
        <v>11</v>
      </c>
      <c r="B17" s="1184"/>
      <c r="C17" s="1152" t="s">
        <v>4</v>
      </c>
      <c r="D17" s="1153"/>
      <c r="E17" s="1201"/>
      <c r="F17" s="1298" t="s">
        <v>5</v>
      </c>
      <c r="G17" s="1299"/>
      <c r="H17" s="1300"/>
      <c r="I17" s="69"/>
    </row>
    <row r="18" spans="1:9" ht="15">
      <c r="A18" s="1274"/>
      <c r="B18" s="1275"/>
      <c r="C18" s="1181" t="s">
        <v>234</v>
      </c>
      <c r="D18" s="345" t="s">
        <v>98</v>
      </c>
      <c r="E18" s="345" t="s">
        <v>339</v>
      </c>
      <c r="F18" s="1181" t="s">
        <v>234</v>
      </c>
      <c r="G18" s="345" t="s">
        <v>99</v>
      </c>
      <c r="H18" s="639" t="s">
        <v>339</v>
      </c>
      <c r="I18" s="11"/>
    </row>
    <row r="19" spans="1:9" ht="16" thickBot="1">
      <c r="A19" s="1274"/>
      <c r="B19" s="1275"/>
      <c r="C19" s="1199"/>
      <c r="D19" s="348">
        <v>40999</v>
      </c>
      <c r="E19" s="349" t="str">
        <f>'Løntabel gældende fra'!$D$1</f>
        <v>01/04/2022</v>
      </c>
      <c r="F19" s="1199"/>
      <c r="G19" s="348">
        <v>40999</v>
      </c>
      <c r="H19" s="349" t="str">
        <f>'Løntabel gældende fra'!$D$1</f>
        <v>01/04/2022</v>
      </c>
      <c r="I19" s="70"/>
    </row>
    <row r="20" spans="1:9" ht="15" customHeight="1">
      <c r="A20" s="1274"/>
      <c r="B20" s="1276"/>
      <c r="C20" s="154" t="s">
        <v>43</v>
      </c>
      <c r="D20" s="155">
        <v>16.38</v>
      </c>
      <c r="E20" s="149">
        <f>ROUND(D20+(D20*'Løntabel gældende fra'!$D$7%),2)</f>
        <v>18.579999999999998</v>
      </c>
      <c r="F20" s="156" t="s">
        <v>47</v>
      </c>
      <c r="G20" s="157">
        <v>22.4054</v>
      </c>
      <c r="H20" s="149">
        <f>ROUND(G20+(G20*'Løntabel gældende fra'!$D$7%),2)</f>
        <v>25.41</v>
      </c>
      <c r="I20" s="51"/>
    </row>
    <row r="21" spans="1:9" ht="15" customHeight="1">
      <c r="A21" s="1274"/>
      <c r="B21" s="1276"/>
      <c r="C21" s="158" t="s">
        <v>44</v>
      </c>
      <c r="D21" s="150">
        <v>98.3</v>
      </c>
      <c r="E21" s="149">
        <f>ROUND(D21+(D21*'Løntabel gældende fra'!$D$7%),2)</f>
        <v>111.48</v>
      </c>
      <c r="F21" s="159" t="s">
        <v>48</v>
      </c>
      <c r="G21" s="160">
        <v>65.525400000000005</v>
      </c>
      <c r="H21" s="149">
        <f>ROUND(G21+(G21*'Løntabel gældende fra'!$D$7%),2)</f>
        <v>74.31</v>
      </c>
      <c r="I21" s="51"/>
    </row>
    <row r="22" spans="1:9" ht="15" customHeight="1">
      <c r="A22" s="1274"/>
      <c r="B22" s="1276"/>
      <c r="C22" s="158" t="s">
        <v>45</v>
      </c>
      <c r="D22" s="161">
        <v>131.07</v>
      </c>
      <c r="E22" s="149">
        <f>ROUND(D22+(D22*'Løntabel gældende fra'!$D$7%),2)</f>
        <v>148.65</v>
      </c>
      <c r="F22" s="159" t="s">
        <v>49</v>
      </c>
      <c r="G22" s="160">
        <v>131.07</v>
      </c>
      <c r="H22" s="149">
        <f>ROUND(G22+(G22*'Løntabel gældende fra'!$D$7%),2)</f>
        <v>148.65</v>
      </c>
      <c r="I22" s="51"/>
    </row>
    <row r="23" spans="1:9" ht="15" customHeight="1" thickBot="1">
      <c r="A23" s="1277"/>
      <c r="B23" s="1278"/>
      <c r="C23" s="162" t="s">
        <v>46</v>
      </c>
      <c r="D23" s="163">
        <v>163.83000000000001</v>
      </c>
      <c r="E23" s="153">
        <f>ROUND(D23+(D23*'Løntabel gældende fra'!$D$7%),2)</f>
        <v>185.8</v>
      </c>
      <c r="F23" s="164" t="s">
        <v>50</v>
      </c>
      <c r="G23" s="165">
        <v>163.82830000000001</v>
      </c>
      <c r="H23" s="153">
        <f>ROUND(G23+(G23*'Løntabel gældende fra'!$D$7%),2)</f>
        <v>185.8</v>
      </c>
      <c r="I23" s="51"/>
    </row>
    <row r="24" spans="1:9" s="125" customFormat="1" ht="21" customHeight="1" thickBot="1">
      <c r="A24" s="121"/>
      <c r="B24" s="121"/>
      <c r="C24" s="122"/>
      <c r="D24" s="123"/>
      <c r="E24" s="123"/>
      <c r="F24" s="122"/>
      <c r="G24" s="123"/>
      <c r="H24" s="123"/>
      <c r="I24" s="124"/>
    </row>
    <row r="25" spans="1:9" ht="20" customHeight="1">
      <c r="A25" s="1154" t="s">
        <v>244</v>
      </c>
      <c r="B25" s="1292"/>
      <c r="C25" s="1292"/>
      <c r="D25" s="1292"/>
      <c r="E25" s="1292"/>
      <c r="F25" s="1292"/>
      <c r="G25" s="1292"/>
      <c r="H25" s="1292"/>
      <c r="I25" s="1293"/>
    </row>
    <row r="26" spans="1:9" ht="20" customHeight="1" thickBot="1">
      <c r="A26" s="1319" t="str">
        <f>"Indtast det årlige timetal i de gule felter. Arket beregner derefter det månedlige undervisningstillæg pr. "&amp;'Løntabel gældende fra'!D1&amp;""</f>
        <v>Indtast det årlige timetal i de gule felter. Arket beregner derefter det månedlige undervisningstillæg pr. 01/04/2022</v>
      </c>
      <c r="B26" s="1320"/>
      <c r="C26" s="1320"/>
      <c r="D26" s="1320"/>
      <c r="E26" s="1320"/>
      <c r="F26" s="1320"/>
      <c r="G26" s="1320"/>
      <c r="H26" s="1320"/>
      <c r="I26" s="1321"/>
    </row>
    <row r="27" spans="1:9" ht="24" customHeight="1">
      <c r="A27" s="1272"/>
      <c r="B27" s="1273"/>
      <c r="C27" s="1270" t="s">
        <v>4</v>
      </c>
      <c r="D27" s="1270"/>
      <c r="E27" s="1271"/>
      <c r="F27" s="1269" t="s">
        <v>5</v>
      </c>
      <c r="G27" s="1270"/>
      <c r="H27" s="1270"/>
      <c r="I27" s="1271"/>
    </row>
    <row r="28" spans="1:9" ht="20" customHeight="1">
      <c r="A28" s="1284" t="s">
        <v>12</v>
      </c>
      <c r="B28" s="1285"/>
      <c r="C28" s="1286">
        <v>715</v>
      </c>
      <c r="D28" s="1287"/>
      <c r="E28" s="1288"/>
      <c r="F28" s="1286"/>
      <c r="G28" s="1287"/>
      <c r="H28" s="1287"/>
      <c r="I28" s="1288"/>
    </row>
    <row r="29" spans="1:9" ht="32.25" customHeight="1" thickBot="1">
      <c r="A29" s="1282" t="str">
        <f>"Mdr. undervisningstillæg pr. "&amp;'Løntabel gældende fra'!D1&amp;""</f>
        <v>Mdr. undervisningstillæg pr. 01/04/2022</v>
      </c>
      <c r="B29" s="1283"/>
      <c r="C29" s="1289">
        <f>ROUND(IF(C28&lt;650,C28*E20,IF(AND(C28&gt;=650,C28&lt;700),650*E20+(C28-650)*E21,IF(AND(C28&gt;=700,C28&lt;750),650*E20+50*E21+(C28-700)*E22,IF(C28&gt;=750,650*E20+50*E21+50*E22+(C28-750)*E23,))))/12,2)</f>
        <v>1656.73</v>
      </c>
      <c r="D29" s="1290" t="e">
        <f t="shared" ref="D29:H29" si="2">IF(D28&lt;750,D28*F20,IF(AND(D28&gt;=750,D28&lt;800),750*F20+(D28-750)*F21,IF(AND(D28&gt;=800,D28&lt;835),750*F20+50*F21+(D28-800)*F22,IF(D28&gt;=835,750*F20+50*F21+35*F22+(D28-835)*F23,))))</f>
        <v>#VALUE!</v>
      </c>
      <c r="E29" s="1291">
        <f t="shared" si="2"/>
        <v>0</v>
      </c>
      <c r="F29" s="1289">
        <f>IF(F28&lt;750,F28*H20,IF(AND(F28&gt;=750,F28&lt;800),750*H20+(F28-750)*H21,IF(AND(F28&gt;=800,F28&lt;835),750*H20+50*H21+(F28-800)*H22,IF(F28&gt;=835,750*H20+50*H21+35*H22+(F28-835)*H23,))))/12</f>
        <v>0</v>
      </c>
      <c r="G29" s="1290">
        <f t="shared" si="2"/>
        <v>0</v>
      </c>
      <c r="H29" s="1290">
        <f t="shared" si="2"/>
        <v>0</v>
      </c>
      <c r="I29" s="1291"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309" t="s">
        <v>309</v>
      </c>
      <c r="B31" s="1310"/>
      <c r="C31" s="1310"/>
      <c r="D31" s="1310"/>
      <c r="E31" s="1310"/>
      <c r="F31" s="1310"/>
      <c r="G31" s="1310"/>
      <c r="H31" s="1310"/>
      <c r="I31" s="1311"/>
    </row>
    <row r="32" spans="1:9" ht="20" customHeight="1">
      <c r="A32" s="1312" t="s">
        <v>245</v>
      </c>
      <c r="B32" s="1313"/>
      <c r="C32" s="1313"/>
      <c r="D32" s="1313"/>
      <c r="E32" s="1313"/>
      <c r="F32" s="1313"/>
      <c r="G32" s="1313"/>
      <c r="H32" s="1313"/>
      <c r="I32" s="1314"/>
    </row>
    <row r="33" spans="1:9" ht="20" customHeight="1" thickBot="1">
      <c r="A33" s="1323" t="s">
        <v>317</v>
      </c>
      <c r="B33" s="1324"/>
      <c r="C33" s="1324"/>
      <c r="D33" s="1324"/>
      <c r="E33" s="1324"/>
      <c r="F33" s="1324"/>
      <c r="G33" s="1324"/>
      <c r="H33" s="1324"/>
      <c r="I33" s="1325"/>
    </row>
    <row r="34" spans="1:9" ht="24" customHeight="1" thickBot="1">
      <c r="A34" s="1182" t="s">
        <v>102</v>
      </c>
      <c r="B34" s="1307" t="s">
        <v>4</v>
      </c>
      <c r="C34" s="1307"/>
      <c r="D34" s="1307"/>
      <c r="E34" s="1308"/>
      <c r="F34" s="1338" t="s">
        <v>5</v>
      </c>
      <c r="G34" s="1307"/>
      <c r="H34" s="1307"/>
      <c r="I34" s="1308"/>
    </row>
    <row r="35" spans="1:9" ht="24" customHeight="1" thickBot="1">
      <c r="A35" s="1199"/>
      <c r="B35" s="455" t="s">
        <v>7</v>
      </c>
      <c r="C35" s="456" t="s">
        <v>8</v>
      </c>
      <c r="D35" s="455" t="s">
        <v>10</v>
      </c>
      <c r="E35" s="457" t="s">
        <v>9</v>
      </c>
      <c r="F35" s="458" t="s">
        <v>7</v>
      </c>
      <c r="G35" s="459" t="s">
        <v>8</v>
      </c>
      <c r="H35" s="387" t="s">
        <v>10</v>
      </c>
      <c r="I35" s="460" t="s">
        <v>9</v>
      </c>
    </row>
    <row r="36" spans="1:9" ht="15" customHeight="1">
      <c r="A36" s="356">
        <v>1</v>
      </c>
      <c r="B36" s="449">
        <v>325</v>
      </c>
      <c r="C36" s="452">
        <v>575</v>
      </c>
      <c r="D36" s="449">
        <v>900</v>
      </c>
      <c r="E36" s="167">
        <v>1150</v>
      </c>
      <c r="F36" s="454">
        <v>375</v>
      </c>
      <c r="G36" s="171">
        <v>625</v>
      </c>
      <c r="H36" s="371">
        <v>1000</v>
      </c>
      <c r="I36" s="171">
        <v>1250</v>
      </c>
    </row>
    <row r="37" spans="1:9" ht="15" customHeight="1">
      <c r="A37" s="357">
        <v>2</v>
      </c>
      <c r="B37" s="450">
        <v>275</v>
      </c>
      <c r="C37" s="452">
        <v>475</v>
      </c>
      <c r="D37" s="450">
        <v>750</v>
      </c>
      <c r="E37" s="167">
        <v>950</v>
      </c>
      <c r="F37" s="368">
        <v>325</v>
      </c>
      <c r="G37" s="192">
        <v>575</v>
      </c>
      <c r="H37" s="374">
        <v>900</v>
      </c>
      <c r="I37" s="192">
        <v>1150</v>
      </c>
    </row>
    <row r="38" spans="1:9" ht="15" customHeight="1">
      <c r="A38" s="357">
        <v>3</v>
      </c>
      <c r="B38" s="450">
        <v>175</v>
      </c>
      <c r="C38" s="452">
        <v>325</v>
      </c>
      <c r="D38" s="450">
        <v>500</v>
      </c>
      <c r="E38" s="167">
        <v>625</v>
      </c>
      <c r="F38" s="368">
        <v>300</v>
      </c>
      <c r="G38" s="192">
        <v>525</v>
      </c>
      <c r="H38" s="374">
        <v>825</v>
      </c>
      <c r="I38" s="192">
        <v>1050</v>
      </c>
    </row>
    <row r="39" spans="1:9" ht="15" customHeight="1" thickBot="1">
      <c r="A39" s="358">
        <v>4</v>
      </c>
      <c r="B39" s="451">
        <v>175</v>
      </c>
      <c r="C39" s="453">
        <v>325</v>
      </c>
      <c r="D39" s="451">
        <v>500</v>
      </c>
      <c r="E39" s="168">
        <v>625</v>
      </c>
      <c r="F39" s="376">
        <v>300</v>
      </c>
      <c r="G39" s="172">
        <v>525</v>
      </c>
      <c r="H39" s="372">
        <v>825</v>
      </c>
      <c r="I39" s="172">
        <v>1050</v>
      </c>
    </row>
    <row r="40" spans="1:9" ht="24" customHeight="1" thickBot="1">
      <c r="A40" s="58"/>
      <c r="B40" s="58"/>
      <c r="C40" s="8"/>
      <c r="D40" s="8"/>
      <c r="E40" s="8"/>
      <c r="F40" s="8"/>
      <c r="G40" s="8"/>
      <c r="H40" s="8"/>
      <c r="I40" s="8"/>
    </row>
    <row r="41" spans="1:9" ht="20" customHeight="1">
      <c r="A41" s="1154" t="s">
        <v>310</v>
      </c>
      <c r="B41" s="1292"/>
      <c r="C41" s="1292"/>
      <c r="D41" s="1292"/>
      <c r="E41" s="1292"/>
      <c r="F41" s="1292"/>
      <c r="G41" s="1293"/>
      <c r="H41" s="64"/>
      <c r="I41" s="7"/>
    </row>
    <row r="42" spans="1:9" ht="20" customHeight="1" thickBot="1">
      <c r="A42" s="1164" t="s">
        <v>318</v>
      </c>
      <c r="B42" s="1165"/>
      <c r="C42" s="1165"/>
      <c r="D42" s="1165"/>
      <c r="E42" s="1165"/>
      <c r="F42" s="1165"/>
      <c r="G42" s="1166"/>
      <c r="H42" s="64"/>
      <c r="I42" s="7"/>
    </row>
    <row r="43" spans="1:9" ht="13" customHeight="1">
      <c r="A43" s="1181" t="s">
        <v>0</v>
      </c>
      <c r="B43" s="1152" t="s">
        <v>131</v>
      </c>
      <c r="C43" s="1201"/>
      <c r="D43" s="1152" t="s">
        <v>340</v>
      </c>
      <c r="E43" s="1153"/>
      <c r="F43" s="1152" t="s">
        <v>278</v>
      </c>
      <c r="G43" s="1201"/>
      <c r="H43" s="46"/>
      <c r="I43" s="7"/>
    </row>
    <row r="44" spans="1:9" ht="14" customHeight="1" thickBot="1">
      <c r="A44" s="1199"/>
      <c r="B44" s="1216">
        <f>$D$19</f>
        <v>40999</v>
      </c>
      <c r="C44" s="1204"/>
      <c r="D44" s="1216" t="str">
        <f>'Løntabel gældende fra'!$D$1</f>
        <v>01/04/2022</v>
      </c>
      <c r="E44" s="1203"/>
      <c r="F44" s="1216" t="str">
        <f>'Løntabel gældende fra'!$D$1</f>
        <v>01/04/2022</v>
      </c>
      <c r="G44" s="1204"/>
      <c r="H44" s="46"/>
      <c r="I44" s="7"/>
    </row>
    <row r="45" spans="1:9" ht="15" customHeight="1">
      <c r="A45" s="356">
        <v>1</v>
      </c>
      <c r="B45" s="1258">
        <v>5200</v>
      </c>
      <c r="C45" s="1258"/>
      <c r="D45" s="1256">
        <f>ROUND(B45+(B45*'Løntabel gældende fra'!$D$7%),2)</f>
        <v>5897.34</v>
      </c>
      <c r="E45" s="1257"/>
      <c r="F45" s="1197">
        <f>ROUND(D45/12,2)</f>
        <v>491.45</v>
      </c>
      <c r="G45" s="1198"/>
      <c r="H45" s="10"/>
      <c r="I45" s="7"/>
    </row>
    <row r="46" spans="1:9" ht="15" customHeight="1">
      <c r="A46" s="357">
        <v>2</v>
      </c>
      <c r="B46" s="1157">
        <v>7900</v>
      </c>
      <c r="C46" s="1157"/>
      <c r="D46" s="1234">
        <f>ROUND(B46+(B46*'Løntabel gældende fra'!$D$7%),2)</f>
        <v>8959.42</v>
      </c>
      <c r="E46" s="1235"/>
      <c r="F46" s="1158">
        <f>ROUND(D46/12,2)</f>
        <v>746.62</v>
      </c>
      <c r="G46" s="1159"/>
      <c r="H46" s="10"/>
      <c r="I46" s="7"/>
    </row>
    <row r="47" spans="1:9" ht="15" customHeight="1" thickBot="1">
      <c r="A47" s="358">
        <v>3</v>
      </c>
      <c r="B47" s="1322">
        <v>7900</v>
      </c>
      <c r="C47" s="1322"/>
      <c r="D47" s="1229">
        <f>ROUND(B47+(B47*'Løntabel gældende fra'!$D$7%),2)</f>
        <v>8959.42</v>
      </c>
      <c r="E47" s="1230"/>
      <c r="F47" s="1260">
        <f>ROUND(D47/12,2)</f>
        <v>746.62</v>
      </c>
      <c r="G47" s="1261"/>
      <c r="H47" s="10"/>
      <c r="I47" s="7"/>
    </row>
    <row r="48" spans="1:9" s="63" customFormat="1" ht="24" customHeight="1" thickBot="1">
      <c r="A48" s="46"/>
      <c r="B48" s="60"/>
      <c r="C48" s="46"/>
      <c r="D48" s="61"/>
      <c r="E48" s="46"/>
      <c r="F48" s="61"/>
      <c r="G48" s="46"/>
      <c r="H48" s="46"/>
      <c r="I48" s="62"/>
    </row>
    <row r="49" spans="1:17" ht="20" customHeight="1">
      <c r="A49" s="1154" t="s">
        <v>430</v>
      </c>
      <c r="B49" s="1155"/>
      <c r="C49" s="1155"/>
      <c r="D49" s="1155"/>
      <c r="E49" s="1155"/>
      <c r="F49" s="1155"/>
      <c r="G49" s="1156"/>
      <c r="H49" s="65"/>
      <c r="K49" s="16"/>
      <c r="L49" s="16"/>
      <c r="M49" s="16"/>
      <c r="N49" s="16"/>
      <c r="O49" s="16"/>
      <c r="P49" s="16"/>
      <c r="Q49" s="16"/>
    </row>
    <row r="50" spans="1:17" ht="20" customHeight="1" thickBot="1">
      <c r="A50" s="1164" t="s">
        <v>319</v>
      </c>
      <c r="B50" s="1165"/>
      <c r="C50" s="1165"/>
      <c r="D50" s="1165"/>
      <c r="E50" s="1165"/>
      <c r="F50" s="1165"/>
      <c r="G50" s="1166"/>
      <c r="H50" s="65"/>
      <c r="K50" s="16"/>
      <c r="L50" s="16"/>
      <c r="M50" s="16"/>
      <c r="N50" s="16"/>
      <c r="O50" s="16"/>
      <c r="P50" s="16"/>
      <c r="Q50" s="16"/>
    </row>
    <row r="51" spans="1:17" ht="16" customHeight="1">
      <c r="A51" s="1181" t="s">
        <v>0</v>
      </c>
      <c r="B51" s="1160" t="s">
        <v>131</v>
      </c>
      <c r="C51" s="1161"/>
      <c r="D51" s="1160" t="s">
        <v>340</v>
      </c>
      <c r="E51" s="1161"/>
      <c r="F51" s="1160" t="s">
        <v>278</v>
      </c>
      <c r="G51" s="1161"/>
      <c r="H51" s="46"/>
      <c r="K51" s="16"/>
      <c r="L51" s="16"/>
      <c r="M51" s="16"/>
      <c r="N51" s="16"/>
      <c r="O51" s="16"/>
      <c r="P51" s="16"/>
      <c r="Q51" s="16"/>
    </row>
    <row r="52" spans="1:17" ht="16" customHeight="1" thickBot="1">
      <c r="A52" s="1182"/>
      <c r="B52" s="1162">
        <f>C9</f>
        <v>40999</v>
      </c>
      <c r="C52" s="1163"/>
      <c r="D52" s="1231" t="str">
        <f>'Løntabel gældende fra'!D1</f>
        <v>01/04/2022</v>
      </c>
      <c r="E52" s="1163"/>
      <c r="F52" s="1231" t="str">
        <f>'Løntabel gældende fra'!D1</f>
        <v>01/04/2022</v>
      </c>
      <c r="G52" s="1163"/>
      <c r="H52" s="46"/>
      <c r="K52" s="16"/>
      <c r="L52" s="16"/>
      <c r="M52" s="16"/>
      <c r="N52" s="16"/>
      <c r="O52" s="16"/>
      <c r="P52" s="16"/>
      <c r="Q52" s="16"/>
    </row>
    <row r="53" spans="1:17" ht="15" customHeight="1">
      <c r="A53" s="356">
        <v>1</v>
      </c>
      <c r="B53" s="1259">
        <v>2800</v>
      </c>
      <c r="C53" s="1259"/>
      <c r="D53" s="1150">
        <f>ROUND(B53+(B53*'Løntabel gældende fra'!$D$7%),2)</f>
        <v>3175.49</v>
      </c>
      <c r="E53" s="1151"/>
      <c r="F53" s="1256">
        <f>ROUND(D53/12,2)</f>
        <v>264.62</v>
      </c>
      <c r="G53" s="1257"/>
      <c r="H53" s="10"/>
      <c r="K53" s="16"/>
      <c r="L53" s="16"/>
      <c r="M53" s="16"/>
      <c r="N53" s="16"/>
      <c r="O53" s="16"/>
      <c r="P53" s="16"/>
      <c r="Q53" s="16"/>
    </row>
    <row r="54" spans="1:17" ht="15" customHeight="1">
      <c r="A54" s="357">
        <v>2</v>
      </c>
      <c r="B54" s="1157">
        <v>2800</v>
      </c>
      <c r="C54" s="1157"/>
      <c r="D54" s="1158">
        <f>ROUND(B54+(B54*'Løntabel gældende fra'!$D$7%),2)</f>
        <v>3175.49</v>
      </c>
      <c r="E54" s="1159"/>
      <c r="F54" s="1232">
        <f t="shared" ref="F54:F56" si="3">ROUND(D54/12,2)</f>
        <v>264.62</v>
      </c>
      <c r="G54" s="1233"/>
      <c r="H54" s="10"/>
      <c r="K54" s="16"/>
      <c r="L54" s="16"/>
      <c r="M54" s="16"/>
      <c r="N54" s="16"/>
      <c r="O54" s="16"/>
      <c r="P54" s="16"/>
      <c r="Q54" s="16"/>
    </row>
    <row r="55" spans="1:17" ht="15" customHeight="1">
      <c r="A55" s="359">
        <v>3</v>
      </c>
      <c r="B55" s="1157">
        <v>2800</v>
      </c>
      <c r="C55" s="1157"/>
      <c r="D55" s="1158">
        <f>ROUND(B55+(B55*'Løntabel gældende fra'!$D$7%),2)</f>
        <v>3175.49</v>
      </c>
      <c r="E55" s="1159"/>
      <c r="F55" s="1232">
        <f t="shared" si="3"/>
        <v>264.62</v>
      </c>
      <c r="G55" s="1233"/>
      <c r="H55" s="10"/>
      <c r="K55" s="16"/>
      <c r="L55" s="16"/>
      <c r="M55" s="16"/>
      <c r="N55" s="16"/>
      <c r="O55" s="16"/>
      <c r="P55" s="16"/>
      <c r="Q55" s="16"/>
    </row>
    <row r="56" spans="1:17" ht="15" customHeight="1" thickBot="1">
      <c r="A56" s="358">
        <v>4</v>
      </c>
      <c r="B56" s="1322">
        <v>2800</v>
      </c>
      <c r="C56" s="1322"/>
      <c r="D56" s="1260">
        <f>ROUND(B56+(B56*'Løntabel gældende fra'!$D$7%),2)</f>
        <v>3175.49</v>
      </c>
      <c r="E56" s="1261"/>
      <c r="F56" s="1229">
        <f t="shared" si="3"/>
        <v>264.62</v>
      </c>
      <c r="G56" s="1230"/>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54" t="s">
        <v>431</v>
      </c>
      <c r="B58" s="1155"/>
      <c r="C58" s="1155"/>
      <c r="D58" s="1155"/>
      <c r="E58" s="1155"/>
      <c r="F58" s="1155"/>
      <c r="G58" s="1156"/>
      <c r="H58" s="65"/>
      <c r="K58" s="16"/>
      <c r="L58" s="16"/>
      <c r="M58" s="16"/>
      <c r="N58" s="16"/>
      <c r="O58" s="16"/>
      <c r="P58" s="16"/>
      <c r="Q58" s="16"/>
    </row>
    <row r="59" spans="1:17" ht="20" customHeight="1" thickBot="1">
      <c r="A59" s="1164" t="s">
        <v>319</v>
      </c>
      <c r="B59" s="1165"/>
      <c r="C59" s="1165"/>
      <c r="D59" s="1165"/>
      <c r="E59" s="1165"/>
      <c r="F59" s="1165"/>
      <c r="G59" s="1166"/>
      <c r="H59" s="65"/>
      <c r="K59" s="16"/>
      <c r="L59" s="16"/>
      <c r="M59" s="16"/>
      <c r="N59" s="16"/>
      <c r="O59" s="16"/>
      <c r="P59" s="16"/>
      <c r="Q59" s="16"/>
    </row>
    <row r="60" spans="1:17" ht="16" customHeight="1">
      <c r="A60" s="1181" t="s">
        <v>0</v>
      </c>
      <c r="B60" s="1160" t="s">
        <v>131</v>
      </c>
      <c r="C60" s="1161"/>
      <c r="D60" s="1160" t="s">
        <v>340</v>
      </c>
      <c r="E60" s="1161"/>
      <c r="F60" s="1160" t="s">
        <v>278</v>
      </c>
      <c r="G60" s="1161"/>
      <c r="H60" s="779"/>
      <c r="K60" s="16"/>
      <c r="L60" s="16"/>
      <c r="M60" s="16"/>
      <c r="N60" s="16"/>
      <c r="O60" s="16"/>
      <c r="P60" s="16"/>
      <c r="Q60" s="16"/>
    </row>
    <row r="61" spans="1:17" ht="16" customHeight="1" thickBot="1">
      <c r="A61" s="1182"/>
      <c r="B61" s="1162">
        <f>B52</f>
        <v>40999</v>
      </c>
      <c r="C61" s="1163"/>
      <c r="D61" s="1231" t="str">
        <f>'Løntabel gældende fra'!D1</f>
        <v>01/04/2022</v>
      </c>
      <c r="E61" s="1353"/>
      <c r="F61" s="1231" t="str">
        <f>'Løntabel gældende fra'!D1</f>
        <v>01/04/2022</v>
      </c>
      <c r="G61" s="1353"/>
      <c r="H61" s="779"/>
      <c r="K61" s="16"/>
      <c r="L61" s="16"/>
      <c r="M61" s="16"/>
      <c r="N61" s="16"/>
      <c r="O61" s="16"/>
      <c r="P61" s="16"/>
      <c r="Q61" s="16"/>
    </row>
    <row r="62" spans="1:17" ht="15" customHeight="1">
      <c r="A62" s="356">
        <v>1</v>
      </c>
      <c r="B62" s="1259">
        <v>900</v>
      </c>
      <c r="C62" s="1259"/>
      <c r="D62" s="1150">
        <f>ROUND(B62+(B62*'Løntabel gældende fra'!$D$7%),2)</f>
        <v>1020.69</v>
      </c>
      <c r="E62" s="1151"/>
      <c r="F62" s="1259">
        <f>ROUND(D62/12,2)</f>
        <v>85.06</v>
      </c>
      <c r="G62" s="1257"/>
      <c r="H62" s="10"/>
      <c r="K62" s="16"/>
      <c r="L62" s="16"/>
      <c r="M62" s="16"/>
      <c r="N62" s="16"/>
      <c r="O62" s="16"/>
      <c r="P62" s="16"/>
      <c r="Q62" s="16"/>
    </row>
    <row r="63" spans="1:17" ht="15" customHeight="1">
      <c r="A63" s="357">
        <v>2</v>
      </c>
      <c r="B63" s="1157">
        <v>900</v>
      </c>
      <c r="C63" s="1157"/>
      <c r="D63" s="1158">
        <f>ROUND(B63+(B63*'Løntabel gældende fra'!$D$7%),2)</f>
        <v>1020.69</v>
      </c>
      <c r="E63" s="1159"/>
      <c r="F63" s="1258">
        <f>ROUND(D63/12,2)</f>
        <v>85.06</v>
      </c>
      <c r="G63" s="1235"/>
      <c r="H63" s="10"/>
      <c r="K63" s="16"/>
      <c r="L63" s="16"/>
      <c r="M63" s="16"/>
      <c r="N63" s="16"/>
      <c r="O63" s="16"/>
      <c r="P63" s="16"/>
      <c r="Q63" s="16"/>
    </row>
    <row r="64" spans="1:17" ht="15" customHeight="1">
      <c r="A64" s="359">
        <v>3</v>
      </c>
      <c r="B64" s="1157">
        <v>900</v>
      </c>
      <c r="C64" s="1157"/>
      <c r="D64" s="1158">
        <f>ROUND(B64+(B64*'Løntabel gældende fra'!$D$7%),2)</f>
        <v>1020.69</v>
      </c>
      <c r="E64" s="1159"/>
      <c r="F64" s="1258">
        <f>ROUND(D64/12,2)</f>
        <v>85.06</v>
      </c>
      <c r="G64" s="1235"/>
      <c r="H64" s="10"/>
      <c r="K64" s="16"/>
      <c r="L64" s="16"/>
      <c r="M64" s="16"/>
      <c r="N64" s="16"/>
      <c r="O64" s="16"/>
      <c r="P64" s="16"/>
      <c r="Q64" s="16"/>
    </row>
    <row r="65" spans="1:17" ht="15" customHeight="1" thickBot="1">
      <c r="A65" s="358">
        <v>4</v>
      </c>
      <c r="B65" s="1322">
        <v>900</v>
      </c>
      <c r="C65" s="1322"/>
      <c r="D65" s="1260">
        <f>ROUND(B65+(B65*'Løntabel gældende fra'!$D$7%),2)</f>
        <v>1020.69</v>
      </c>
      <c r="E65" s="1261"/>
      <c r="F65" s="1322">
        <f>ROUND(D65/12,2)</f>
        <v>85.06</v>
      </c>
      <c r="G65" s="1230"/>
      <c r="H65" s="10"/>
      <c r="K65" s="16"/>
      <c r="L65" s="16"/>
      <c r="M65" s="16"/>
      <c r="N65" s="16"/>
      <c r="O65" s="16"/>
      <c r="P65" s="16"/>
      <c r="Q65" s="16"/>
    </row>
    <row r="66" spans="1:17" ht="25" customHeight="1" thickBot="1">
      <c r="A66" s="779"/>
      <c r="B66" s="48"/>
      <c r="C66" s="48"/>
      <c r="D66" s="48"/>
      <c r="E66" s="48"/>
      <c r="F66" s="49"/>
      <c r="G66" s="49"/>
      <c r="H66" s="49"/>
      <c r="K66" s="16"/>
      <c r="L66" s="16"/>
      <c r="M66" s="16"/>
      <c r="N66" s="16"/>
      <c r="O66" s="16"/>
      <c r="P66" s="16"/>
      <c r="Q66" s="16"/>
    </row>
    <row r="67" spans="1:17" ht="20" customHeight="1">
      <c r="A67" s="1174" t="s">
        <v>311</v>
      </c>
      <c r="B67" s="1175"/>
      <c r="C67" s="1175"/>
      <c r="D67" s="1175"/>
      <c r="E67" s="1175"/>
      <c r="F67" s="1175"/>
      <c r="G67" s="1175"/>
      <c r="H67" s="1175"/>
      <c r="I67" s="1176"/>
    </row>
    <row r="68" spans="1:17" ht="20" customHeight="1" thickBot="1">
      <c r="A68" s="1263" t="s">
        <v>320</v>
      </c>
      <c r="B68" s="1264"/>
      <c r="C68" s="1264"/>
      <c r="D68" s="1264"/>
      <c r="E68" s="1264"/>
      <c r="F68" s="1264"/>
      <c r="G68" s="1264"/>
      <c r="H68" s="1264"/>
      <c r="I68" s="1265"/>
    </row>
    <row r="69" spans="1:17" ht="28" customHeight="1">
      <c r="A69" s="1250" t="s">
        <v>297</v>
      </c>
      <c r="B69" s="1251"/>
      <c r="C69" s="1251"/>
      <c r="D69" s="1251"/>
      <c r="E69" s="1251"/>
      <c r="F69" s="1252"/>
      <c r="G69" s="339" t="s">
        <v>131</v>
      </c>
      <c r="H69" s="339" t="s">
        <v>101</v>
      </c>
      <c r="I69" s="640" t="s">
        <v>278</v>
      </c>
    </row>
    <row r="70" spans="1:17" ht="15" customHeight="1" thickBot="1">
      <c r="A70" s="1250"/>
      <c r="B70" s="1251"/>
      <c r="C70" s="1251"/>
      <c r="D70" s="1251"/>
      <c r="E70" s="1251"/>
      <c r="F70" s="1252"/>
      <c r="G70" s="340">
        <f>C9</f>
        <v>40999</v>
      </c>
      <c r="H70" s="340">
        <f>C9</f>
        <v>40999</v>
      </c>
      <c r="I70" s="340" t="str">
        <f>'Løntabel gældende fra'!$D$1</f>
        <v>01/04/2022</v>
      </c>
    </row>
    <row r="71" spans="1:17" ht="15" customHeight="1" thickBot="1">
      <c r="A71" s="1253"/>
      <c r="B71" s="1254"/>
      <c r="C71" s="1254"/>
      <c r="D71" s="1254"/>
      <c r="E71" s="1254"/>
      <c r="F71" s="1255"/>
      <c r="G71" s="169">
        <v>19300</v>
      </c>
      <c r="H71" s="173">
        <f>ROUND(G71/12,2)</f>
        <v>1608.33</v>
      </c>
      <c r="I71" s="1070">
        <f>ROUND(H71+(H71*'Løntabel gældende fra'!$D$7%),2)</f>
        <v>1824.01</v>
      </c>
    </row>
    <row r="72" spans="1:17" ht="24" customHeight="1" thickBot="1">
      <c r="A72" s="7"/>
      <c r="B72" s="7"/>
      <c r="C72" s="7" t="s">
        <v>16</v>
      </c>
      <c r="D72" s="7"/>
      <c r="E72" s="7"/>
      <c r="F72" s="7"/>
      <c r="G72" s="7"/>
      <c r="H72" s="7"/>
      <c r="I72" s="7"/>
    </row>
    <row r="73" spans="1:17" ht="20" customHeight="1">
      <c r="A73" s="1174" t="s">
        <v>313</v>
      </c>
      <c r="B73" s="1175"/>
      <c r="C73" s="1175"/>
      <c r="D73" s="1175"/>
      <c r="E73" s="1175"/>
      <c r="F73" s="1175"/>
      <c r="G73" s="1175"/>
      <c r="H73" s="1175"/>
      <c r="I73" s="1176"/>
    </row>
    <row r="74" spans="1:17" ht="20" customHeight="1" thickBot="1">
      <c r="A74" s="1263" t="s">
        <v>312</v>
      </c>
      <c r="B74" s="1264"/>
      <c r="C74" s="1264"/>
      <c r="D74" s="1264"/>
      <c r="E74" s="1264"/>
      <c r="F74" s="1264"/>
      <c r="G74" s="1264"/>
      <c r="H74" s="1264"/>
      <c r="I74" s="1265"/>
    </row>
    <row r="75" spans="1:17" ht="28" customHeight="1">
      <c r="A75" s="1223" t="s">
        <v>444</v>
      </c>
      <c r="B75" s="1224"/>
      <c r="C75" s="1224"/>
      <c r="D75" s="1224"/>
      <c r="E75" s="1224"/>
      <c r="F75" s="1224"/>
      <c r="G75" s="1225"/>
      <c r="H75" s="432" t="s">
        <v>341</v>
      </c>
      <c r="I75" s="639" t="s">
        <v>342</v>
      </c>
    </row>
    <row r="76" spans="1:17" ht="34" customHeight="1" thickBot="1">
      <c r="A76" s="1226"/>
      <c r="B76" s="1227"/>
      <c r="C76" s="1227"/>
      <c r="D76" s="1227"/>
      <c r="E76" s="1227"/>
      <c r="F76" s="1227"/>
      <c r="G76" s="1228"/>
      <c r="H76" s="340">
        <f>C9</f>
        <v>40999</v>
      </c>
      <c r="I76" s="1069" t="str">
        <f>'Løntabel gældende fra'!$D$1</f>
        <v>01/04/2022</v>
      </c>
    </row>
    <row r="77" spans="1:17" ht="15" customHeight="1" thickBot="1">
      <c r="A77" s="1340" t="s">
        <v>14</v>
      </c>
      <c r="B77" s="1341"/>
      <c r="C77" s="1341"/>
      <c r="D77" s="1341"/>
      <c r="E77" s="1341"/>
      <c r="F77" s="1341"/>
      <c r="G77" s="1341"/>
      <c r="H77" s="173">
        <v>19</v>
      </c>
      <c r="I77" s="174">
        <f>ROUND(H77+H77*'Løntabel gældende fra'!$D$7%,2)</f>
        <v>21.55</v>
      </c>
    </row>
    <row r="78" spans="1:17" ht="24" customHeight="1" thickBot="1">
      <c r="A78" s="7"/>
      <c r="B78" s="7"/>
      <c r="C78" s="7"/>
      <c r="D78" s="7"/>
      <c r="E78" s="7"/>
      <c r="F78" s="7"/>
      <c r="G78" s="7"/>
      <c r="H78" s="7"/>
      <c r="I78" s="7"/>
    </row>
    <row r="79" spans="1:17" ht="20" customHeight="1">
      <c r="A79" s="1174" t="s">
        <v>541</v>
      </c>
      <c r="B79" s="1175"/>
      <c r="C79" s="1175"/>
      <c r="D79" s="1175"/>
      <c r="E79" s="1175"/>
      <c r="F79" s="1175"/>
      <c r="G79" s="1175"/>
      <c r="H79" s="1175"/>
      <c r="I79" s="1176"/>
    </row>
    <row r="80" spans="1:17" ht="20" customHeight="1" thickBot="1">
      <c r="A80" s="1263" t="s">
        <v>539</v>
      </c>
      <c r="B80" s="1264"/>
      <c r="C80" s="1264"/>
      <c r="D80" s="1264"/>
      <c r="E80" s="1264"/>
      <c r="F80" s="1264"/>
      <c r="G80" s="1264"/>
      <c r="H80" s="1264"/>
      <c r="I80" s="1265"/>
    </row>
    <row r="81" spans="1:22" ht="31" customHeight="1">
      <c r="A81" s="1360" t="s">
        <v>542</v>
      </c>
      <c r="B81" s="1361"/>
      <c r="C81" s="1361"/>
      <c r="D81" s="1361"/>
      <c r="E81" s="1361"/>
      <c r="F81" s="1361"/>
      <c r="G81" s="1362"/>
      <c r="H81" s="339" t="s">
        <v>341</v>
      </c>
      <c r="I81" s="1068" t="s">
        <v>342</v>
      </c>
    </row>
    <row r="82" spans="1:22" ht="15" customHeight="1" thickBot="1">
      <c r="A82" s="1363"/>
      <c r="B82" s="1364"/>
      <c r="C82" s="1364"/>
      <c r="D82" s="1364"/>
      <c r="E82" s="1364"/>
      <c r="F82" s="1364"/>
      <c r="G82" s="1365"/>
      <c r="H82" s="340">
        <f>H76</f>
        <v>40999</v>
      </c>
      <c r="I82" s="340" t="str">
        <f>'Løntabel gældende fra'!$D$1</f>
        <v>01/04/2022</v>
      </c>
    </row>
    <row r="83" spans="1:22" ht="15" customHeight="1" thickBot="1">
      <c r="A83" s="1366" t="s">
        <v>540</v>
      </c>
      <c r="B83" s="1367"/>
      <c r="C83" s="1367"/>
      <c r="D83" s="1367"/>
      <c r="E83" s="1367"/>
      <c r="F83" s="1367"/>
      <c r="G83" s="1368"/>
      <c r="H83" s="169">
        <v>267.31</v>
      </c>
      <c r="I83" s="170">
        <f>ROUND(H83+(H83*'Løntabel gældende fra'!$D$7%),2)</f>
        <v>303.16000000000003</v>
      </c>
    </row>
    <row r="84" spans="1:22" ht="15" customHeight="1" thickBot="1">
      <c r="A84" s="1357"/>
      <c r="B84" s="1358"/>
      <c r="C84" s="1358"/>
      <c r="D84" s="1358"/>
      <c r="E84" s="1358"/>
      <c r="F84" s="1358"/>
      <c r="G84" s="1358"/>
      <c r="H84" s="1358"/>
      <c r="I84" s="1359"/>
    </row>
    <row r="85" spans="1:22" ht="28" customHeight="1">
      <c r="A85" s="1174" t="s">
        <v>314</v>
      </c>
      <c r="B85" s="1175"/>
      <c r="C85" s="1175"/>
      <c r="D85" s="1175"/>
      <c r="E85" s="1175"/>
      <c r="F85" s="1175"/>
      <c r="G85" s="1175"/>
      <c r="H85" s="1175"/>
      <c r="I85" s="1176"/>
    </row>
    <row r="86" spans="1:22" ht="25" customHeight="1" thickBot="1">
      <c r="A86" s="1263" t="s">
        <v>312</v>
      </c>
      <c r="B86" s="1264"/>
      <c r="C86" s="1264"/>
      <c r="D86" s="1264"/>
      <c r="E86" s="1264"/>
      <c r="F86" s="1264"/>
      <c r="G86" s="1264"/>
      <c r="H86" s="1264"/>
      <c r="I86" s="1265"/>
      <c r="K86" s="16"/>
      <c r="L86" s="16"/>
      <c r="M86" s="16"/>
      <c r="N86" s="16"/>
      <c r="O86" s="16"/>
      <c r="P86" s="16"/>
      <c r="Q86" s="16"/>
    </row>
    <row r="87" spans="1:22" ht="27.75" customHeight="1">
      <c r="A87" s="1326"/>
      <c r="B87" s="1327"/>
      <c r="C87" s="1327"/>
      <c r="D87" s="1327"/>
      <c r="E87" s="1327"/>
      <c r="F87" s="1327"/>
      <c r="G87" s="1328"/>
      <c r="H87" s="341" t="s">
        <v>98</v>
      </c>
      <c r="I87" s="342" t="s">
        <v>103</v>
      </c>
      <c r="K87" s="16"/>
      <c r="L87" s="16"/>
      <c r="M87" s="16"/>
      <c r="N87" s="16"/>
      <c r="O87" s="16"/>
      <c r="P87" s="16"/>
      <c r="Q87" s="16"/>
    </row>
    <row r="88" spans="1:22" ht="16.5" customHeight="1" thickBot="1">
      <c r="A88" s="1329"/>
      <c r="B88" s="1330"/>
      <c r="C88" s="1330"/>
      <c r="D88" s="1330"/>
      <c r="E88" s="1330"/>
      <c r="F88" s="1330"/>
      <c r="G88" s="1331"/>
      <c r="H88" s="343">
        <f>C9</f>
        <v>40999</v>
      </c>
      <c r="I88" s="340" t="str">
        <f>'Løntabel gældende fra'!$D$1</f>
        <v>01/04/2022</v>
      </c>
      <c r="K88" s="16"/>
      <c r="L88" s="16"/>
      <c r="M88" s="16"/>
      <c r="N88" s="16"/>
      <c r="O88" s="16"/>
      <c r="P88" s="16"/>
      <c r="Q88" s="16"/>
    </row>
    <row r="89" spans="1:22" customFormat="1" ht="24" customHeight="1">
      <c r="A89" s="1332" t="s">
        <v>18</v>
      </c>
      <c r="B89" s="1333"/>
      <c r="C89" s="1333"/>
      <c r="D89" s="1333"/>
      <c r="E89" s="1333"/>
      <c r="F89" s="1333"/>
      <c r="G89" s="1334"/>
      <c r="H89" s="210">
        <v>6.59</v>
      </c>
      <c r="I89" s="210">
        <f>ROUND(H89+H89*'Løntabel gældende fra'!$D$7%,2)</f>
        <v>7.47</v>
      </c>
    </row>
    <row r="90" spans="1:22" customFormat="1" ht="24" customHeight="1">
      <c r="A90" s="1335" t="s">
        <v>17</v>
      </c>
      <c r="B90" s="1336"/>
      <c r="C90" s="1336"/>
      <c r="D90" s="1336"/>
      <c r="E90" s="1336"/>
      <c r="F90" s="1336"/>
      <c r="G90" s="1337"/>
      <c r="H90" s="1071">
        <v>61.22</v>
      </c>
      <c r="I90" s="1071">
        <f>ROUND(H90+H90*'Løntabel gældende fra'!$D$7%,2)</f>
        <v>69.430000000000007</v>
      </c>
    </row>
    <row r="91" spans="1:22" customFormat="1" ht="24" customHeight="1">
      <c r="A91" s="1335" t="s">
        <v>545</v>
      </c>
      <c r="B91" s="1336"/>
      <c r="C91" s="1336"/>
      <c r="D91" s="1336"/>
      <c r="E91" s="1336"/>
      <c r="F91" s="1336"/>
      <c r="G91" s="1337"/>
      <c r="H91" s="1071">
        <v>163.63999999999999</v>
      </c>
      <c r="I91" s="1071">
        <f>ROUND(H91+H91*'Løntabel gældende fra'!$D$7%,2)</f>
        <v>185.58</v>
      </c>
    </row>
    <row r="92" spans="1:22" customFormat="1" ht="42" customHeight="1" thickBot="1">
      <c r="A92" s="1354" t="s">
        <v>546</v>
      </c>
      <c r="B92" s="1355"/>
      <c r="C92" s="1355"/>
      <c r="D92" s="1355"/>
      <c r="E92" s="1355"/>
      <c r="F92" s="1355"/>
      <c r="G92" s="1356"/>
      <c r="H92" s="211">
        <v>372.2</v>
      </c>
      <c r="I92" s="211">
        <f>ROUND(H92+H92*'Løntabel gældende fra'!$D$7%,2)</f>
        <v>422.11</v>
      </c>
    </row>
    <row r="93" spans="1:22" s="567" customFormat="1" ht="47" customHeight="1" thickBot="1">
      <c r="A93" s="1171" t="s">
        <v>543</v>
      </c>
      <c r="B93" s="1172"/>
      <c r="C93" s="1172"/>
      <c r="D93" s="1172"/>
      <c r="E93" s="1172"/>
      <c r="F93" s="1172"/>
      <c r="G93" s="1172"/>
      <c r="H93" s="1172"/>
      <c r="I93" s="1173"/>
      <c r="J93" s="568"/>
      <c r="K93" s="568"/>
      <c r="L93" s="568"/>
      <c r="M93" s="568"/>
      <c r="N93" s="568"/>
      <c r="O93" s="568"/>
      <c r="P93" s="568"/>
      <c r="Q93" s="568"/>
      <c r="R93" s="568"/>
      <c r="S93" s="568"/>
      <c r="T93" s="568"/>
      <c r="U93" s="568"/>
      <c r="V93" s="568"/>
    </row>
    <row r="94" spans="1:22" customFormat="1" ht="34" customHeight="1" thickBot="1">
      <c r="A94" s="1171" t="s">
        <v>544</v>
      </c>
      <c r="B94" s="1172"/>
      <c r="C94" s="1172"/>
      <c r="D94" s="1172"/>
      <c r="E94" s="1172"/>
      <c r="F94" s="1172"/>
      <c r="G94" s="1172"/>
      <c r="H94" s="1172"/>
      <c r="I94" s="1173"/>
    </row>
    <row r="95" spans="1:22" customFormat="1" ht="15" customHeight="1" thickBot="1">
      <c r="A95" s="75"/>
      <c r="B95" s="75"/>
      <c r="C95" s="75"/>
      <c r="D95" s="75"/>
      <c r="E95" s="75"/>
      <c r="F95" s="75"/>
      <c r="G95" s="75"/>
      <c r="H95" s="75"/>
      <c r="I95" s="75"/>
    </row>
    <row r="96" spans="1:22" customFormat="1" ht="24" customHeight="1" thickBot="1">
      <c r="A96" s="1187" t="s">
        <v>69</v>
      </c>
      <c r="B96" s="1188"/>
      <c r="C96" s="1188"/>
      <c r="D96" s="1188"/>
      <c r="E96" s="1188"/>
      <c r="F96" s="1188"/>
      <c r="G96" s="1246"/>
      <c r="H96" s="64"/>
    </row>
    <row r="97" spans="1:22" s="567" customFormat="1" ht="24" customHeight="1" thickBot="1">
      <c r="A97" s="1217" t="s">
        <v>70</v>
      </c>
      <c r="B97" s="1218"/>
      <c r="C97" s="1219"/>
      <c r="D97" s="1316">
        <v>40999</v>
      </c>
      <c r="E97" s="1262"/>
      <c r="F97" s="1262" t="str">
        <f>'Løntabel gældende fra'!$D$1</f>
        <v>01/04/2022</v>
      </c>
      <c r="G97" s="1206"/>
      <c r="H97" s="66"/>
      <c r="I97"/>
      <c r="J97" s="568"/>
      <c r="K97" s="568"/>
      <c r="L97" s="568"/>
      <c r="M97" s="568"/>
      <c r="N97" s="568"/>
      <c r="O97" s="568"/>
      <c r="P97" s="568"/>
      <c r="Q97" s="568"/>
      <c r="R97" s="568"/>
      <c r="S97" s="568"/>
      <c r="T97" s="568"/>
      <c r="U97" s="568"/>
      <c r="V97" s="568"/>
    </row>
    <row r="98" spans="1:22" customFormat="1" ht="15" customHeight="1" thickBot="1">
      <c r="A98" s="1220"/>
      <c r="B98" s="1221"/>
      <c r="C98" s="1222"/>
      <c r="D98" s="1191" t="s">
        <v>315</v>
      </c>
      <c r="E98" s="1192"/>
      <c r="F98" s="1191" t="s">
        <v>315</v>
      </c>
      <c r="G98" s="1192"/>
      <c r="H98" s="568"/>
      <c r="I98" s="568"/>
    </row>
    <row r="99" spans="1:22" customFormat="1" ht="15" customHeight="1">
      <c r="A99" s="175" t="s">
        <v>71</v>
      </c>
      <c r="B99" s="176"/>
      <c r="C99" s="177"/>
      <c r="D99" s="178">
        <v>236</v>
      </c>
      <c r="E99" s="178">
        <v>334</v>
      </c>
      <c r="F99" s="569">
        <f>ROUND(D99+D99*'Løntabel gældende fra'!$D$7%,2)</f>
        <v>267.64999999999998</v>
      </c>
      <c r="G99" s="570">
        <f>ROUND(E99+E99*'Løntabel gældende fra'!$D$7%,2)</f>
        <v>378.79</v>
      </c>
      <c r="H99" s="59"/>
    </row>
    <row r="100" spans="1:22" ht="24" customHeight="1" thickBot="1">
      <c r="A100" s="130" t="s">
        <v>73</v>
      </c>
      <c r="B100" s="131"/>
      <c r="C100" s="179"/>
      <c r="D100" s="180">
        <v>170</v>
      </c>
      <c r="E100" s="180">
        <v>269</v>
      </c>
      <c r="F100" s="181">
        <f>ROUND(D100+D100*'Løntabel gældende fra'!$D$7%,2)</f>
        <v>192.8</v>
      </c>
      <c r="G100" s="182">
        <f>ROUND(E100+E100*'Løntabel gældende fra'!$D$7%,2)</f>
        <v>305.07</v>
      </c>
      <c r="H100" s="59"/>
      <c r="I100"/>
    </row>
    <row r="101" spans="1:22" customFormat="1" ht="24" customHeight="1" thickBot="1">
      <c r="A101" s="1152" t="s">
        <v>72</v>
      </c>
      <c r="B101" s="1153"/>
      <c r="C101" s="1201"/>
      <c r="D101" s="1207">
        <f>D97</f>
        <v>40999</v>
      </c>
      <c r="E101" s="1208"/>
      <c r="F101" s="1205" t="str">
        <f>'Løntabel gældende fra'!$D$1</f>
        <v>01/04/2022</v>
      </c>
      <c r="G101" s="1206"/>
      <c r="H101" s="66"/>
    </row>
    <row r="102" spans="1:22" customFormat="1" ht="16" thickBot="1">
      <c r="A102" s="1202"/>
      <c r="B102" s="1203"/>
      <c r="C102" s="1204"/>
      <c r="D102" s="1191" t="s">
        <v>315</v>
      </c>
      <c r="E102" s="1192"/>
      <c r="F102" s="1191" t="s">
        <v>315</v>
      </c>
      <c r="G102" s="1192"/>
      <c r="H102" s="568"/>
      <c r="I102" s="568"/>
    </row>
    <row r="103" spans="1:22" customFormat="1" ht="15">
      <c r="A103" s="175" t="s">
        <v>71</v>
      </c>
      <c r="B103" s="176"/>
      <c r="C103" s="177"/>
      <c r="D103" s="178">
        <v>203</v>
      </c>
      <c r="E103" s="178">
        <v>334</v>
      </c>
      <c r="F103" s="183">
        <f>ROUND(D103+D103*'Løntabel gældende fra'!$D$7%,2)</f>
        <v>230.22</v>
      </c>
      <c r="G103" s="184">
        <f>ROUND(E103+E103*'Løntabel gældende fra'!$D$7%,2)</f>
        <v>378.79</v>
      </c>
      <c r="H103" s="59"/>
    </row>
    <row r="104" spans="1:22" customFormat="1" ht="42" customHeight="1" thickBot="1">
      <c r="A104" s="560" t="s">
        <v>73</v>
      </c>
      <c r="B104" s="561"/>
      <c r="C104" s="562"/>
      <c r="D104" s="185">
        <v>138</v>
      </c>
      <c r="E104" s="185">
        <v>269</v>
      </c>
      <c r="F104" s="186">
        <f>ROUND(D104+D104*'Løntabel gældende fra'!$D$7%,2)</f>
        <v>156.51</v>
      </c>
      <c r="G104" s="187">
        <f>ROUND(E104+E104*'Løntabel gældende fra'!$D$7%,2)</f>
        <v>305.07</v>
      </c>
      <c r="H104" s="59"/>
    </row>
    <row r="105" spans="1:22" customFormat="1" ht="16" thickBot="1">
      <c r="A105" s="7"/>
      <c r="B105" s="7"/>
      <c r="C105" s="7"/>
      <c r="D105" s="7"/>
      <c r="E105" s="7"/>
      <c r="F105" s="7"/>
      <c r="G105" s="7"/>
      <c r="H105" s="7"/>
      <c r="I105" s="7"/>
    </row>
    <row r="106" spans="1:22" customFormat="1" ht="19" thickBot="1">
      <c r="A106" s="1187" t="s">
        <v>60</v>
      </c>
      <c r="B106" s="1188"/>
      <c r="C106" s="1188"/>
      <c r="D106" s="1188"/>
      <c r="E106" s="1188"/>
      <c r="F106" s="1188"/>
      <c r="G106" s="1246"/>
    </row>
    <row r="107" spans="1:22" ht="12" customHeight="1" thickBot="1">
      <c r="A107" s="188"/>
      <c r="B107" s="189"/>
      <c r="C107" s="190"/>
      <c r="D107" s="1239">
        <v>40999</v>
      </c>
      <c r="E107" s="1240"/>
      <c r="F107" s="1179" t="str">
        <f>'Løntabel gældende fra'!$D$1</f>
        <v>01/04/2022</v>
      </c>
      <c r="G107" s="1180"/>
      <c r="H107"/>
      <c r="I107"/>
    </row>
    <row r="108" spans="1:22" ht="20.25" customHeight="1" thickBot="1">
      <c r="A108" s="1317" t="s">
        <v>61</v>
      </c>
      <c r="B108" s="1318"/>
      <c r="C108" s="1318"/>
      <c r="D108" s="1189">
        <v>43.25</v>
      </c>
      <c r="E108" s="1190"/>
      <c r="F108" s="1214">
        <f>ROUND(D108+D108*'Løntabel gældende fra'!$D$7%,2)</f>
        <v>49.05</v>
      </c>
      <c r="G108" s="1215"/>
      <c r="H108"/>
      <c r="I108"/>
    </row>
    <row r="109" spans="1:22" ht="15">
      <c r="A109" s="1211" t="s">
        <v>225</v>
      </c>
      <c r="B109" s="1212"/>
      <c r="C109" s="1213"/>
      <c r="D109" s="1189">
        <v>9.17</v>
      </c>
      <c r="E109" s="1190"/>
      <c r="F109" s="1214">
        <f>ROUND(D109+D109*'Løntabel gældende fra'!$D$7%,2)</f>
        <v>10.4</v>
      </c>
      <c r="G109" s="1215"/>
      <c r="H109"/>
      <c r="I109"/>
    </row>
    <row r="110" spans="1:22" ht="18" customHeight="1" thickBot="1">
      <c r="A110" s="71" t="s">
        <v>62</v>
      </c>
      <c r="B110" s="72"/>
      <c r="C110" s="72"/>
      <c r="D110" s="1241">
        <v>4587.3100000000004</v>
      </c>
      <c r="E110" s="1242"/>
      <c r="F110" s="1177">
        <f>ROUND(D110+D110*'Løntabel gældende fra'!$D$7%,2)</f>
        <v>5202.49</v>
      </c>
      <c r="G110" s="1178"/>
      <c r="H110"/>
      <c r="I110"/>
    </row>
    <row r="111" spans="1:22" ht="16" customHeight="1">
      <c r="A111" s="82"/>
      <c r="B111" s="82"/>
      <c r="C111" s="82"/>
      <c r="D111" s="61"/>
      <c r="E111" s="102"/>
      <c r="F111" s="59"/>
      <c r="G111" s="59"/>
      <c r="H111"/>
      <c r="I111"/>
      <c r="J111" s="3"/>
      <c r="K111" s="3"/>
      <c r="L111" s="3"/>
      <c r="M111" s="4"/>
      <c r="N111" s="4"/>
      <c r="O111" s="4"/>
    </row>
    <row r="112" spans="1:22" ht="16" customHeight="1" thickBot="1">
      <c r="A112" s="103"/>
      <c r="B112" s="104"/>
      <c r="C112" s="104"/>
      <c r="D112" s="104"/>
      <c r="E112" s="104"/>
      <c r="F112" s="59"/>
      <c r="G112" s="59"/>
      <c r="H112" s="7"/>
      <c r="I112" s="7"/>
      <c r="J112" s="3"/>
      <c r="K112" s="3"/>
      <c r="L112" s="3"/>
      <c r="M112" s="4"/>
      <c r="N112" s="4"/>
      <c r="O112" s="4"/>
    </row>
    <row r="113" spans="1:10" ht="20">
      <c r="A113" s="1243" t="s">
        <v>90</v>
      </c>
      <c r="B113" s="1244"/>
      <c r="C113" s="1244"/>
      <c r="D113" s="1244"/>
      <c r="E113" s="1244"/>
      <c r="F113" s="1244"/>
      <c r="G113" s="1244"/>
      <c r="H113" s="1244"/>
      <c r="I113" s="1245"/>
    </row>
    <row r="114" spans="1:10" ht="21" thickBot="1">
      <c r="A114" s="1247" t="str">
        <f>'Løntabel gældende fra'!$D$1</f>
        <v>01/04/2022</v>
      </c>
      <c r="B114" s="1248"/>
      <c r="C114" s="1248"/>
      <c r="D114" s="1248"/>
      <c r="E114" s="1248"/>
      <c r="F114" s="1248"/>
      <c r="G114" s="1248"/>
      <c r="H114" s="1248"/>
      <c r="I114" s="1249"/>
    </row>
    <row r="115" spans="1:10" ht="19" thickBot="1">
      <c r="A115" s="1187" t="s">
        <v>88</v>
      </c>
      <c r="B115" s="1188"/>
      <c r="C115" s="1188"/>
      <c r="D115" s="1188"/>
      <c r="E115" s="1188"/>
      <c r="F115" s="1175"/>
      <c r="G115" s="1175"/>
      <c r="H115" s="1175"/>
      <c r="I115" s="1176"/>
    </row>
    <row r="116" spans="1:10" ht="15" customHeight="1">
      <c r="A116" s="1170" t="s">
        <v>0</v>
      </c>
      <c r="B116" s="1152" t="s">
        <v>20</v>
      </c>
      <c r="C116" s="1153"/>
      <c r="D116" s="1153"/>
      <c r="E116" s="1153"/>
      <c r="F116" s="1185" t="s">
        <v>419</v>
      </c>
      <c r="G116" s="1186"/>
      <c r="H116" s="1209">
        <v>0.17299999999999999</v>
      </c>
      <c r="I116" s="1210"/>
    </row>
    <row r="117" spans="1:10" ht="18" customHeight="1" thickBot="1">
      <c r="A117" s="1170"/>
      <c r="B117" s="1202"/>
      <c r="C117" s="1203"/>
      <c r="D117" s="1203"/>
      <c r="E117" s="1203"/>
      <c r="F117" s="1236" t="s">
        <v>428</v>
      </c>
      <c r="G117" s="1237"/>
      <c r="H117" s="1237"/>
      <c r="I117" s="1238"/>
    </row>
    <row r="118" spans="1:10" ht="23" customHeight="1">
      <c r="A118" s="166">
        <v>1</v>
      </c>
      <c r="B118" s="1256">
        <f>H10</f>
        <v>25639.07</v>
      </c>
      <c r="C118" s="1259"/>
      <c r="D118" s="1259"/>
      <c r="E118" s="1257"/>
      <c r="F118" s="1256">
        <f>ROUND(B118*$H$116,2)</f>
        <v>4435.5600000000004</v>
      </c>
      <c r="G118" s="1259"/>
      <c r="H118" s="1259"/>
      <c r="I118" s="1257"/>
    </row>
    <row r="119" spans="1:10" ht="22.5" customHeight="1">
      <c r="A119" s="99">
        <v>2</v>
      </c>
      <c r="B119" s="1232">
        <f>H11</f>
        <v>26877.79</v>
      </c>
      <c r="C119" s="1157"/>
      <c r="D119" s="1157"/>
      <c r="E119" s="1233"/>
      <c r="F119" s="1232">
        <f>ROUND(B119*$H$116,2)</f>
        <v>4649.8599999999997</v>
      </c>
      <c r="G119" s="1157"/>
      <c r="H119" s="1157"/>
      <c r="I119" s="1233"/>
    </row>
    <row r="120" spans="1:10" ht="15" customHeight="1">
      <c r="A120" s="99">
        <v>3</v>
      </c>
      <c r="B120" s="1232">
        <f>H12</f>
        <v>27881.1</v>
      </c>
      <c r="C120" s="1157"/>
      <c r="D120" s="1157"/>
      <c r="E120" s="1233"/>
      <c r="F120" s="1232">
        <f>ROUND(B120*$H$116,2)</f>
        <v>4823.43</v>
      </c>
      <c r="G120" s="1157"/>
      <c r="H120" s="1157"/>
      <c r="I120" s="1233"/>
    </row>
    <row r="121" spans="1:10" ht="15" thickBot="1">
      <c r="A121" s="100">
        <v>4</v>
      </c>
      <c r="B121" s="1229">
        <f>H13</f>
        <v>29652.47</v>
      </c>
      <c r="C121" s="1322"/>
      <c r="D121" s="1322"/>
      <c r="E121" s="1230"/>
      <c r="F121" s="1229">
        <f>ROUND(B121*$H$116,2)</f>
        <v>5129.88</v>
      </c>
      <c r="G121" s="1322"/>
      <c r="H121" s="1322"/>
      <c r="I121" s="1230"/>
      <c r="J121" s="50"/>
    </row>
    <row r="122" spans="1:10" ht="19" thickBot="1">
      <c r="A122" s="1174" t="s">
        <v>89</v>
      </c>
      <c r="B122" s="1175"/>
      <c r="C122" s="1175"/>
      <c r="D122" s="1175"/>
      <c r="E122" s="1175"/>
      <c r="F122" s="1175"/>
      <c r="G122" s="1175"/>
      <c r="H122" s="1175"/>
      <c r="I122" s="1176"/>
    </row>
    <row r="123" spans="1:10">
      <c r="A123" s="1169" t="s">
        <v>0</v>
      </c>
      <c r="B123" s="1181" t="s">
        <v>136</v>
      </c>
      <c r="C123" s="1152" t="s">
        <v>23</v>
      </c>
      <c r="D123" s="1153"/>
      <c r="E123" s="1153"/>
      <c r="F123" s="1152" t="s">
        <v>24</v>
      </c>
      <c r="G123" s="1153"/>
      <c r="H123" s="1183" t="s">
        <v>93</v>
      </c>
      <c r="I123" s="1184"/>
    </row>
    <row r="124" spans="1:10" ht="15" thickBot="1">
      <c r="A124" s="1170"/>
      <c r="B124" s="1182"/>
      <c r="C124" s="1167">
        <f>B52</f>
        <v>40999</v>
      </c>
      <c r="D124" s="1168"/>
      <c r="E124" s="1168"/>
      <c r="F124" s="1167" t="str">
        <f>'Løntabel gældende fra'!$D$1</f>
        <v>01/04/2022</v>
      </c>
      <c r="G124" s="1168"/>
      <c r="H124" s="1274"/>
      <c r="I124" s="1276"/>
    </row>
    <row r="125" spans="1:10" ht="16" thickBot="1">
      <c r="A125" s="1170"/>
      <c r="B125" s="1182"/>
      <c r="C125" s="1183" t="s">
        <v>86</v>
      </c>
      <c r="D125" s="1184"/>
      <c r="E125" s="693" t="s">
        <v>87</v>
      </c>
      <c r="F125" s="693" t="s">
        <v>86</v>
      </c>
      <c r="G125" s="695" t="s">
        <v>87</v>
      </c>
      <c r="H125" s="1348">
        <v>0.15</v>
      </c>
      <c r="I125" s="1349"/>
    </row>
    <row r="126" spans="1:10">
      <c r="A126" s="145">
        <v>1</v>
      </c>
      <c r="B126" s="381">
        <v>21</v>
      </c>
      <c r="C126" s="1150">
        <f>+'Statens skalatrin'!N66</f>
        <v>241583.32</v>
      </c>
      <c r="D126" s="1151"/>
      <c r="E126" s="171">
        <f>ROUND(C126/12,2)</f>
        <v>20131.939999999999</v>
      </c>
      <c r="F126" s="220">
        <f>ROUND(C126*(1+'Løntabel gældende fra'!$D$7/100),0)</f>
        <v>273981</v>
      </c>
      <c r="G126" s="171">
        <f>ROUND(F126/12,2)</f>
        <v>22831.75</v>
      </c>
      <c r="H126" s="1197">
        <f>ROUND(G126*$H$125,2)</f>
        <v>3424.76</v>
      </c>
      <c r="I126" s="1198"/>
    </row>
    <row r="127" spans="1:10">
      <c r="A127" s="697">
        <v>1</v>
      </c>
      <c r="B127" s="698">
        <v>23</v>
      </c>
      <c r="C127" s="1158">
        <f>+'Statens skalatrin'!N72</f>
        <v>250472.55</v>
      </c>
      <c r="D127" s="1159"/>
      <c r="E127" s="192">
        <f t="shared" ref="E127:E139" si="4">ROUND(C127/12,2)</f>
        <v>20872.71</v>
      </c>
      <c r="F127" s="221">
        <f>ROUND(C127*(1+'Løntabel gældende fra'!$D$7/100),0)</f>
        <v>284062</v>
      </c>
      <c r="G127" s="192">
        <f t="shared" ref="G127:G137" si="5">ROUND(F127/12,2)</f>
        <v>23671.83</v>
      </c>
      <c r="H127" s="1197">
        <f t="shared" ref="H127:H139" si="6">ROUND(G127*$H$125,2)</f>
        <v>3550.77</v>
      </c>
      <c r="I127" s="1198"/>
    </row>
    <row r="128" spans="1:10">
      <c r="A128" s="697">
        <v>2</v>
      </c>
      <c r="B128" s="698">
        <v>25</v>
      </c>
      <c r="C128" s="1158">
        <f>+'Statens skalatrin'!N78</f>
        <v>259721.7</v>
      </c>
      <c r="D128" s="1159"/>
      <c r="E128" s="192">
        <f t="shared" si="4"/>
        <v>21643.48</v>
      </c>
      <c r="F128" s="221">
        <f>ROUND(C128*(1+'Løntabel gældende fra'!$D$7/100),0)</f>
        <v>294551</v>
      </c>
      <c r="G128" s="192">
        <f t="shared" si="5"/>
        <v>24545.919999999998</v>
      </c>
      <c r="H128" s="1197">
        <f t="shared" si="6"/>
        <v>3681.89</v>
      </c>
      <c r="I128" s="1198"/>
    </row>
    <row r="129" spans="1:9">
      <c r="A129" s="697">
        <v>2</v>
      </c>
      <c r="B129" s="698">
        <v>27</v>
      </c>
      <c r="C129" s="1158">
        <f>+'Statens skalatrin'!N84</f>
        <v>269459.90000000002</v>
      </c>
      <c r="D129" s="1159"/>
      <c r="E129" s="192">
        <f t="shared" si="4"/>
        <v>22454.99</v>
      </c>
      <c r="F129" s="221">
        <f>ROUND(C129*(1+'Løntabel gældende fra'!$D$7/100),0)</f>
        <v>305596</v>
      </c>
      <c r="G129" s="192">
        <f t="shared" si="5"/>
        <v>25466.33</v>
      </c>
      <c r="H129" s="1197">
        <f t="shared" si="6"/>
        <v>3819.95</v>
      </c>
      <c r="I129" s="1198"/>
    </row>
    <row r="130" spans="1:9">
      <c r="A130" s="697">
        <v>3</v>
      </c>
      <c r="B130" s="698">
        <v>28</v>
      </c>
      <c r="C130" s="1158">
        <f>+'Statens skalatrin'!N87</f>
        <v>274522.23</v>
      </c>
      <c r="D130" s="1159"/>
      <c r="E130" s="192">
        <f t="shared" si="4"/>
        <v>22876.85</v>
      </c>
      <c r="F130" s="221">
        <f>ROUND(C130*(1+'Løntabel gældende fra'!$D$7/100),0)</f>
        <v>311337</v>
      </c>
      <c r="G130" s="192">
        <f t="shared" si="5"/>
        <v>25944.75</v>
      </c>
      <c r="H130" s="1197">
        <f t="shared" si="6"/>
        <v>3891.71</v>
      </c>
      <c r="I130" s="1198"/>
    </row>
    <row r="131" spans="1:9">
      <c r="A131" s="697">
        <v>3</v>
      </c>
      <c r="B131" s="698">
        <v>29</v>
      </c>
      <c r="C131" s="1158">
        <f>+'Statens skalatrin'!N90</f>
        <v>279714.99</v>
      </c>
      <c r="D131" s="1159"/>
      <c r="E131" s="192">
        <f t="shared" si="4"/>
        <v>23309.58</v>
      </c>
      <c r="F131" s="221">
        <f>ROUND(C131*(1+'Løntabel gældende fra'!$D$7/100),0)</f>
        <v>317226</v>
      </c>
      <c r="G131" s="192">
        <f t="shared" si="5"/>
        <v>26435.5</v>
      </c>
      <c r="H131" s="1197">
        <f t="shared" si="6"/>
        <v>3965.33</v>
      </c>
      <c r="I131" s="1198"/>
    </row>
    <row r="132" spans="1:9">
      <c r="A132" s="697">
        <v>3</v>
      </c>
      <c r="B132" s="698">
        <v>30</v>
      </c>
      <c r="C132" s="1158">
        <f>+'Statens skalatrin'!N93</f>
        <v>285044.74</v>
      </c>
      <c r="D132" s="1159"/>
      <c r="E132" s="192">
        <f t="shared" si="4"/>
        <v>23753.73</v>
      </c>
      <c r="F132" s="221">
        <f>ROUND(C132*(1+'Løntabel gældende fra'!$D$7/100),0)</f>
        <v>323270</v>
      </c>
      <c r="G132" s="192">
        <f t="shared" si="5"/>
        <v>26939.17</v>
      </c>
      <c r="H132" s="1197">
        <f t="shared" si="6"/>
        <v>4040.88</v>
      </c>
      <c r="I132" s="1198"/>
    </row>
    <row r="133" spans="1:9">
      <c r="A133" s="697">
        <v>3</v>
      </c>
      <c r="B133" s="698">
        <v>31</v>
      </c>
      <c r="C133" s="1158">
        <f>+'Statens skalatrin'!N96</f>
        <v>290512.64000000001</v>
      </c>
      <c r="D133" s="1159"/>
      <c r="E133" s="192">
        <f t="shared" si="4"/>
        <v>24209.39</v>
      </c>
      <c r="F133" s="221">
        <f>ROUND(C133*(1+'Løntabel gældende fra'!$D$7/100),0)</f>
        <v>329472</v>
      </c>
      <c r="G133" s="192">
        <f t="shared" si="5"/>
        <v>27456</v>
      </c>
      <c r="H133" s="1197">
        <f t="shared" si="6"/>
        <v>4118.3999999999996</v>
      </c>
      <c r="I133" s="1198"/>
    </row>
    <row r="134" spans="1:9" ht="15" customHeight="1">
      <c r="A134" s="697">
        <v>28</v>
      </c>
      <c r="B134" s="698">
        <v>28</v>
      </c>
      <c r="C134" s="1158">
        <f>+C130</f>
        <v>274522.23</v>
      </c>
      <c r="D134" s="1159"/>
      <c r="E134" s="192">
        <f t="shared" si="4"/>
        <v>22876.85</v>
      </c>
      <c r="F134" s="221">
        <f>ROUND(C134*(1+'Løntabel gældende fra'!$D$7/100),0)</f>
        <v>311337</v>
      </c>
      <c r="G134" s="192">
        <f t="shared" si="5"/>
        <v>25944.75</v>
      </c>
      <c r="H134" s="1197">
        <f t="shared" si="6"/>
        <v>3891.71</v>
      </c>
      <c r="I134" s="1198"/>
    </row>
    <row r="135" spans="1:9" ht="20" customHeight="1">
      <c r="A135" s="697">
        <v>29</v>
      </c>
      <c r="B135" s="698">
        <v>29</v>
      </c>
      <c r="C135" s="1158">
        <f>+C131</f>
        <v>279714.99</v>
      </c>
      <c r="D135" s="1159"/>
      <c r="E135" s="192">
        <f t="shared" si="4"/>
        <v>23309.58</v>
      </c>
      <c r="F135" s="221">
        <f>ROUND(C135*(1+'Løntabel gældende fra'!$D$7/100),0)</f>
        <v>317226</v>
      </c>
      <c r="G135" s="192">
        <f t="shared" si="5"/>
        <v>26435.5</v>
      </c>
      <c r="H135" s="1197">
        <f t="shared" si="6"/>
        <v>3965.33</v>
      </c>
      <c r="I135" s="1198"/>
    </row>
    <row r="136" spans="1:9" ht="17.25" customHeight="1">
      <c r="A136" s="697">
        <v>30</v>
      </c>
      <c r="B136" s="698">
        <v>30</v>
      </c>
      <c r="C136" s="1158">
        <f>+C132</f>
        <v>285044.74</v>
      </c>
      <c r="D136" s="1159"/>
      <c r="E136" s="192">
        <f t="shared" si="4"/>
        <v>23753.73</v>
      </c>
      <c r="F136" s="221">
        <f>ROUND(C136*(1+'Løntabel gældende fra'!$D$7/100),0)</f>
        <v>323270</v>
      </c>
      <c r="G136" s="192">
        <f t="shared" si="5"/>
        <v>26939.17</v>
      </c>
      <c r="H136" s="1197">
        <f t="shared" si="6"/>
        <v>4040.88</v>
      </c>
      <c r="I136" s="1198"/>
    </row>
    <row r="137" spans="1:9" ht="14.25" customHeight="1">
      <c r="A137" s="697">
        <v>31</v>
      </c>
      <c r="B137" s="698">
        <v>31</v>
      </c>
      <c r="C137" s="1158">
        <f>+C133</f>
        <v>290512.64000000001</v>
      </c>
      <c r="D137" s="1159"/>
      <c r="E137" s="192">
        <f t="shared" si="4"/>
        <v>24209.39</v>
      </c>
      <c r="F137" s="221">
        <f>ROUND(C137*(1+'Løntabel gældende fra'!$D$7/100),0)</f>
        <v>329472</v>
      </c>
      <c r="G137" s="192">
        <f t="shared" si="5"/>
        <v>27456</v>
      </c>
      <c r="H137" s="1197">
        <f t="shared" si="6"/>
        <v>4118.3999999999996</v>
      </c>
      <c r="I137" s="1198"/>
    </row>
    <row r="138" spans="1:9">
      <c r="A138" s="697">
        <v>32</v>
      </c>
      <c r="B138" s="698">
        <v>32</v>
      </c>
      <c r="C138" s="1158">
        <f>+'Statens skalatrin'!N99</f>
        <v>296125.21000000002</v>
      </c>
      <c r="D138" s="1159"/>
      <c r="E138" s="192">
        <f t="shared" si="4"/>
        <v>24677.1</v>
      </c>
      <c r="F138" s="221">
        <f>ROUND(C138*(1+'Løntabel gældende fra'!$D$7/100),0)</f>
        <v>335837</v>
      </c>
      <c r="G138" s="192">
        <f>ROUND(F138/12,2)</f>
        <v>27986.42</v>
      </c>
      <c r="H138" s="1197">
        <f t="shared" si="6"/>
        <v>4197.96</v>
      </c>
      <c r="I138" s="1198"/>
    </row>
    <row r="139" spans="1:9" ht="15" thickBot="1">
      <c r="A139" s="151">
        <v>33</v>
      </c>
      <c r="B139" s="382">
        <v>33</v>
      </c>
      <c r="C139" s="1260">
        <f>+'Statens skalatrin'!N102</f>
        <v>301881.8</v>
      </c>
      <c r="D139" s="1261"/>
      <c r="E139" s="172">
        <f t="shared" si="4"/>
        <v>25156.82</v>
      </c>
      <c r="F139" s="222">
        <f>ROUND(C139*(1+'Løntabel gældende fra'!$D$7/100),0)</f>
        <v>342365</v>
      </c>
      <c r="G139" s="172">
        <f>ROUND(F139/12,2)</f>
        <v>28530.42</v>
      </c>
      <c r="H139" s="1197">
        <f t="shared" si="6"/>
        <v>4279.5600000000004</v>
      </c>
      <c r="I139" s="1198"/>
    </row>
    <row r="140" spans="1:9" ht="20">
      <c r="A140" s="1243" t="s">
        <v>91</v>
      </c>
      <c r="B140" s="1244"/>
      <c r="C140" s="1244"/>
      <c r="D140" s="1244"/>
      <c r="E140" s="1244"/>
      <c r="F140" s="1244"/>
      <c r="G140" s="1244"/>
      <c r="H140" s="1244"/>
      <c r="I140" s="1245"/>
    </row>
    <row r="141" spans="1:9" ht="20">
      <c r="A141" s="1350" t="str">
        <f>'Løntabel gældende fra'!$D$1</f>
        <v>01/04/2022</v>
      </c>
      <c r="B141" s="1351"/>
      <c r="C141" s="1351"/>
      <c r="D141" s="1351"/>
      <c r="E141" s="1351"/>
      <c r="F141" s="1351"/>
      <c r="G141" s="1351"/>
      <c r="H141" s="1351"/>
      <c r="I141" s="1352"/>
    </row>
    <row r="142" spans="1:9" ht="19" thickBot="1">
      <c r="A142" s="1193" t="s">
        <v>88</v>
      </c>
      <c r="B142" s="1194"/>
      <c r="C142" s="1194"/>
      <c r="D142" s="1194"/>
      <c r="E142" s="1194"/>
      <c r="F142" s="1195"/>
      <c r="G142" s="1195"/>
      <c r="H142" s="1195"/>
      <c r="I142" s="1196"/>
    </row>
    <row r="143" spans="1:9">
      <c r="A143" s="1170" t="s">
        <v>0</v>
      </c>
      <c r="B143" s="1152" t="s">
        <v>20</v>
      </c>
      <c r="C143" s="1153"/>
      <c r="D143" s="1153"/>
      <c r="E143" s="1153"/>
      <c r="F143" s="1342" t="s">
        <v>93</v>
      </c>
      <c r="G143" s="1343"/>
      <c r="H143" s="766">
        <v>0.17299999999999999</v>
      </c>
      <c r="I143" s="767"/>
    </row>
    <row r="144" spans="1:9" ht="15" thickBot="1">
      <c r="A144" s="1200"/>
      <c r="B144" s="1202"/>
      <c r="C144" s="1203"/>
      <c r="D144" s="1203"/>
      <c r="E144" s="1203"/>
      <c r="F144" s="1202" t="s">
        <v>428</v>
      </c>
      <c r="G144" s="1203"/>
      <c r="H144" s="1203"/>
      <c r="I144" s="1204"/>
    </row>
    <row r="145" spans="1:10">
      <c r="A145" s="166">
        <v>1</v>
      </c>
      <c r="B145" s="1256">
        <f>E10</f>
        <v>26433.599999999999</v>
      </c>
      <c r="C145" s="1259"/>
      <c r="D145" s="1259"/>
      <c r="E145" s="1259"/>
      <c r="F145" s="1256">
        <f>ROUND(B145*$H$143,2)</f>
        <v>4573.01</v>
      </c>
      <c r="G145" s="1259"/>
      <c r="H145" s="1259"/>
      <c r="I145" s="1257"/>
    </row>
    <row r="146" spans="1:10" ht="15" customHeight="1">
      <c r="A146" s="99">
        <v>2</v>
      </c>
      <c r="B146" s="1232">
        <f>E11</f>
        <v>28167.74</v>
      </c>
      <c r="C146" s="1157"/>
      <c r="D146" s="1157"/>
      <c r="E146" s="1157"/>
      <c r="F146" s="1232">
        <f t="shared" ref="F146:F148" si="7">ROUND(B146*$H$143,2)</f>
        <v>4873.0200000000004</v>
      </c>
      <c r="G146" s="1157"/>
      <c r="H146" s="1157"/>
      <c r="I146" s="1233"/>
    </row>
    <row r="147" spans="1:10">
      <c r="A147" s="99">
        <v>3</v>
      </c>
      <c r="B147" s="1232">
        <f>E12</f>
        <v>30781.38</v>
      </c>
      <c r="C147" s="1157"/>
      <c r="D147" s="1157"/>
      <c r="E147" s="1157"/>
      <c r="F147" s="1232">
        <f t="shared" si="7"/>
        <v>5325.18</v>
      </c>
      <c r="G147" s="1157"/>
      <c r="H147" s="1157"/>
      <c r="I147" s="1233"/>
    </row>
    <row r="148" spans="1:10" ht="19" customHeight="1" thickBot="1">
      <c r="A148" s="100">
        <v>4</v>
      </c>
      <c r="B148" s="1229">
        <f>E13</f>
        <v>33209.21</v>
      </c>
      <c r="C148" s="1322"/>
      <c r="D148" s="1322"/>
      <c r="E148" s="1322"/>
      <c r="F148" s="1229">
        <f t="shared" si="7"/>
        <v>5745.19</v>
      </c>
      <c r="G148" s="1322"/>
      <c r="H148" s="1322"/>
      <c r="I148" s="1230"/>
    </row>
    <row r="149" spans="1:10" ht="14" customHeight="1" thickBot="1">
      <c r="A149" s="1187" t="s">
        <v>89</v>
      </c>
      <c r="B149" s="1188"/>
      <c r="C149" s="1188"/>
      <c r="D149" s="1188"/>
      <c r="E149" s="1188"/>
      <c r="F149" s="1188"/>
      <c r="G149" s="1188"/>
      <c r="H149" s="1188"/>
      <c r="I149" s="428"/>
      <c r="J149" s="51"/>
    </row>
    <row r="150" spans="1:10">
      <c r="A150" s="1182" t="s">
        <v>104</v>
      </c>
      <c r="B150" s="1182" t="s">
        <v>136</v>
      </c>
      <c r="C150" s="1307" t="s">
        <v>23</v>
      </c>
      <c r="D150" s="1307"/>
      <c r="E150" s="1307"/>
      <c r="F150" s="1338" t="s">
        <v>24</v>
      </c>
      <c r="G150" s="1307"/>
      <c r="H150" s="1183" t="s">
        <v>93</v>
      </c>
      <c r="I150" s="1184"/>
    </row>
    <row r="151" spans="1:10" ht="15" thickBot="1">
      <c r="A151" s="1182"/>
      <c r="B151" s="1182"/>
      <c r="C151" s="1168">
        <v>40999</v>
      </c>
      <c r="D151" s="1168"/>
      <c r="E151" s="1168"/>
      <c r="F151" s="1167" t="str">
        <f>'Løntabel gældende fra'!$D$1</f>
        <v>01/04/2022</v>
      </c>
      <c r="G151" s="1168"/>
      <c r="H151" s="1274"/>
      <c r="I151" s="1276"/>
    </row>
    <row r="152" spans="1:10" ht="16" thickBot="1">
      <c r="A152" s="1199"/>
      <c r="B152" s="1182"/>
      <c r="C152" s="1339" t="s">
        <v>86</v>
      </c>
      <c r="D152" s="1184"/>
      <c r="E152" s="693" t="s">
        <v>87</v>
      </c>
      <c r="F152" s="694" t="s">
        <v>86</v>
      </c>
      <c r="G152" s="695" t="s">
        <v>87</v>
      </c>
      <c r="H152" s="1344">
        <v>0.15</v>
      </c>
      <c r="I152" s="1345"/>
    </row>
    <row r="153" spans="1:10">
      <c r="A153" s="145">
        <v>1</v>
      </c>
      <c r="B153" s="381">
        <v>24</v>
      </c>
      <c r="C153" s="1150">
        <f>+'Statens skalatrin'!N75</f>
        <v>255037.97</v>
      </c>
      <c r="D153" s="1151"/>
      <c r="E153" s="171">
        <f>ROUND(C153/12,2)</f>
        <v>21253.16</v>
      </c>
      <c r="F153" s="220">
        <f>ROUND(C153*(1+'Løntabel gældende fra'!$D$7/100),0)</f>
        <v>289240</v>
      </c>
      <c r="G153" s="171">
        <f>ROUND(F153/12,2)</f>
        <v>24103.33</v>
      </c>
      <c r="H153" s="1197">
        <f>ROUND(G153*$H$152,2)</f>
        <v>3615.5</v>
      </c>
      <c r="I153" s="1198"/>
    </row>
    <row r="154" spans="1:10">
      <c r="A154" s="697">
        <v>1</v>
      </c>
      <c r="B154" s="698">
        <v>25</v>
      </c>
      <c r="C154" s="1158">
        <f>+'Statens skalatrin'!N78</f>
        <v>259721.7</v>
      </c>
      <c r="D154" s="1159"/>
      <c r="E154" s="192">
        <f t="shared" ref="E154:E167" si="8">ROUND(C154/12,2)</f>
        <v>21643.48</v>
      </c>
      <c r="F154" s="221">
        <f>ROUND(C154*(1+'Løntabel gældende fra'!$D$7/100),0)</f>
        <v>294551</v>
      </c>
      <c r="G154" s="192">
        <f t="shared" ref="G154:G167" si="9">ROUND(F154/12,2)</f>
        <v>24545.919999999998</v>
      </c>
      <c r="H154" s="1197">
        <f t="shared" ref="H154:H167" si="10">ROUND(G154*$H$152,2)</f>
        <v>3681.89</v>
      </c>
      <c r="I154" s="1198"/>
    </row>
    <row r="155" spans="1:10">
      <c r="A155" s="697">
        <v>2</v>
      </c>
      <c r="B155" s="698">
        <v>27</v>
      </c>
      <c r="C155" s="1158">
        <f>+'Statens skalatrin'!N84</f>
        <v>269459.90000000002</v>
      </c>
      <c r="D155" s="1159"/>
      <c r="E155" s="192">
        <f t="shared" si="8"/>
        <v>22454.99</v>
      </c>
      <c r="F155" s="221">
        <f>ROUND(C155*(1+'Løntabel gældende fra'!$D$7/100),0)</f>
        <v>305596</v>
      </c>
      <c r="G155" s="192">
        <f t="shared" si="9"/>
        <v>25466.33</v>
      </c>
      <c r="H155" s="1197">
        <f t="shared" si="10"/>
        <v>3819.95</v>
      </c>
      <c r="I155" s="1198"/>
    </row>
    <row r="156" spans="1:10">
      <c r="A156" s="697">
        <v>2</v>
      </c>
      <c r="B156" s="698">
        <v>29</v>
      </c>
      <c r="C156" s="1158">
        <f>+'Statens skalatrin'!N90</f>
        <v>279714.99</v>
      </c>
      <c r="D156" s="1159"/>
      <c r="E156" s="192">
        <f t="shared" si="8"/>
        <v>23309.58</v>
      </c>
      <c r="F156" s="221">
        <f>ROUND(C156*(1+'Løntabel gældende fra'!$D$7/100),0)</f>
        <v>317226</v>
      </c>
      <c r="G156" s="192">
        <f t="shared" si="9"/>
        <v>26435.5</v>
      </c>
      <c r="H156" s="1197">
        <f t="shared" si="10"/>
        <v>3965.33</v>
      </c>
      <c r="I156" s="1198"/>
    </row>
    <row r="157" spans="1:10">
      <c r="A157" s="697">
        <v>3</v>
      </c>
      <c r="B157" s="698">
        <v>31</v>
      </c>
      <c r="C157" s="1158">
        <f>+'Statens skalatrin'!N96</f>
        <v>290512.64000000001</v>
      </c>
      <c r="D157" s="1159"/>
      <c r="E157" s="192">
        <f t="shared" si="8"/>
        <v>24209.39</v>
      </c>
      <c r="F157" s="221">
        <f>ROUND(C157*(1+'Løntabel gældende fra'!$D$7/100),0)</f>
        <v>329472</v>
      </c>
      <c r="G157" s="192">
        <f t="shared" si="9"/>
        <v>27456</v>
      </c>
      <c r="H157" s="1197">
        <f t="shared" si="10"/>
        <v>4118.3999999999996</v>
      </c>
      <c r="I157" s="1198"/>
    </row>
    <row r="158" spans="1:10">
      <c r="A158" s="697">
        <v>3</v>
      </c>
      <c r="B158" s="698">
        <v>33</v>
      </c>
      <c r="C158" s="1158">
        <f>+'Statens skalatrin'!N102</f>
        <v>301881.8</v>
      </c>
      <c r="D158" s="1159"/>
      <c r="E158" s="192">
        <f t="shared" si="8"/>
        <v>25156.82</v>
      </c>
      <c r="F158" s="221">
        <f>ROUND(C158*(1+'Løntabel gældende fra'!$D$7/100),0)</f>
        <v>342365</v>
      </c>
      <c r="G158" s="192">
        <f t="shared" si="9"/>
        <v>28530.42</v>
      </c>
      <c r="H158" s="1197">
        <f t="shared" si="10"/>
        <v>4279.5600000000004</v>
      </c>
      <c r="I158" s="1198"/>
    </row>
    <row r="159" spans="1:10">
      <c r="A159" s="697">
        <v>3</v>
      </c>
      <c r="B159" s="698">
        <v>35</v>
      </c>
      <c r="C159" s="1158">
        <f>+'Statens skalatrin'!N108</f>
        <v>313854.56</v>
      </c>
      <c r="D159" s="1159"/>
      <c r="E159" s="192">
        <f t="shared" si="8"/>
        <v>26154.55</v>
      </c>
      <c r="F159" s="221">
        <f>ROUND(C159*(1+'Løntabel gældende fra'!$D$7/100),0)</f>
        <v>355944</v>
      </c>
      <c r="G159" s="192">
        <f t="shared" si="9"/>
        <v>29662</v>
      </c>
      <c r="H159" s="1197">
        <f t="shared" si="10"/>
        <v>4449.3</v>
      </c>
      <c r="I159" s="1198"/>
    </row>
    <row r="160" spans="1:10">
      <c r="A160" s="697">
        <v>3</v>
      </c>
      <c r="B160" s="698">
        <v>37</v>
      </c>
      <c r="C160" s="1158">
        <f>+'Statens skalatrin'!N114</f>
        <v>326457.34000000003</v>
      </c>
      <c r="D160" s="1159"/>
      <c r="E160" s="192">
        <f t="shared" si="8"/>
        <v>27204.78</v>
      </c>
      <c r="F160" s="221">
        <f>ROUND(C160*(1+'Løntabel gældende fra'!$D$7/100),0)</f>
        <v>370237</v>
      </c>
      <c r="G160" s="192">
        <f t="shared" si="9"/>
        <v>30853.08</v>
      </c>
      <c r="H160" s="1197">
        <f t="shared" si="10"/>
        <v>4627.96</v>
      </c>
      <c r="I160" s="1198"/>
    </row>
    <row r="161" spans="1:9">
      <c r="A161" s="697">
        <v>3</v>
      </c>
      <c r="B161" s="698">
        <v>40</v>
      </c>
      <c r="C161" s="1158">
        <f>+'Statens skalatrin'!N123</f>
        <v>347027.46</v>
      </c>
      <c r="D161" s="1159"/>
      <c r="E161" s="192">
        <f t="shared" si="8"/>
        <v>28918.959999999999</v>
      </c>
      <c r="F161" s="221">
        <f>ROUND(C161*(1+'Løntabel gældende fra'!$D$7/100),0)</f>
        <v>393565</v>
      </c>
      <c r="G161" s="192">
        <f t="shared" si="9"/>
        <v>32797.08</v>
      </c>
      <c r="H161" s="1197">
        <f t="shared" si="10"/>
        <v>4919.5600000000004</v>
      </c>
      <c r="I161" s="1198"/>
    </row>
    <row r="162" spans="1:9">
      <c r="A162" s="697">
        <v>35</v>
      </c>
      <c r="B162" s="698">
        <v>35</v>
      </c>
      <c r="C162" s="1158">
        <f>+C159</f>
        <v>313854.56</v>
      </c>
      <c r="D162" s="1159"/>
      <c r="E162" s="192">
        <f t="shared" si="8"/>
        <v>26154.55</v>
      </c>
      <c r="F162" s="221">
        <f>ROUND(C162*(1+'Løntabel gældende fra'!$D$7/100),0)</f>
        <v>355944</v>
      </c>
      <c r="G162" s="192">
        <f t="shared" si="9"/>
        <v>29662</v>
      </c>
      <c r="H162" s="1197">
        <f t="shared" si="10"/>
        <v>4449.3</v>
      </c>
      <c r="I162" s="1198"/>
    </row>
    <row r="163" spans="1:9">
      <c r="A163" s="697">
        <v>36</v>
      </c>
      <c r="B163" s="698">
        <v>36</v>
      </c>
      <c r="C163" s="1158">
        <f>+'Statens skalatrin'!N111</f>
        <v>320074.68</v>
      </c>
      <c r="D163" s="1159"/>
      <c r="E163" s="192">
        <f t="shared" si="8"/>
        <v>26672.89</v>
      </c>
      <c r="F163" s="221">
        <f>ROUND(C163*(1+'Løntabel gældende fra'!$D$7/100),0)</f>
        <v>362998</v>
      </c>
      <c r="G163" s="192">
        <f t="shared" si="9"/>
        <v>30249.83</v>
      </c>
      <c r="H163" s="1197">
        <f t="shared" si="10"/>
        <v>4537.47</v>
      </c>
      <c r="I163" s="1198"/>
    </row>
    <row r="164" spans="1:9" ht="15" hidden="1" customHeight="1">
      <c r="A164" s="697">
        <v>38</v>
      </c>
      <c r="B164" s="698">
        <v>38</v>
      </c>
      <c r="C164" s="1158">
        <f>+'Statens skalatrin'!N117</f>
        <v>333128.88</v>
      </c>
      <c r="D164" s="1159"/>
      <c r="E164" s="192">
        <f t="shared" si="8"/>
        <v>27760.74</v>
      </c>
      <c r="F164" s="221">
        <f>ROUND(C164*(1+'Løntabel gældende fra'!$D$7/100),0)</f>
        <v>377803</v>
      </c>
      <c r="G164" s="192">
        <f t="shared" si="9"/>
        <v>31483.58</v>
      </c>
      <c r="H164" s="1197">
        <f t="shared" si="10"/>
        <v>4722.54</v>
      </c>
      <c r="I164" s="1198"/>
    </row>
    <row r="165" spans="1:9" s="76" customFormat="1" ht="15.75" customHeight="1">
      <c r="A165" s="697">
        <v>40</v>
      </c>
      <c r="B165" s="698">
        <v>40</v>
      </c>
      <c r="C165" s="1158">
        <f>+'Statens skalatrin'!N123</f>
        <v>347027.46</v>
      </c>
      <c r="D165" s="1159"/>
      <c r="E165" s="192">
        <f t="shared" si="8"/>
        <v>28918.959999999999</v>
      </c>
      <c r="F165" s="221">
        <f>ROUND(C165*(1+'Løntabel gældende fra'!$D$7/100),0)</f>
        <v>393565</v>
      </c>
      <c r="G165" s="192">
        <f t="shared" si="9"/>
        <v>32797.08</v>
      </c>
      <c r="H165" s="1197">
        <f t="shared" si="10"/>
        <v>4919.5600000000004</v>
      </c>
      <c r="I165" s="1198"/>
    </row>
    <row r="166" spans="1:9" s="76" customFormat="1" ht="15">
      <c r="A166" s="697">
        <v>41</v>
      </c>
      <c r="B166" s="698">
        <v>41</v>
      </c>
      <c r="C166" s="1158">
        <f>+'Statens skalatrin'!N126</f>
        <v>354249.23</v>
      </c>
      <c r="D166" s="1159"/>
      <c r="E166" s="192">
        <f t="shared" si="8"/>
        <v>29520.77</v>
      </c>
      <c r="F166" s="221">
        <f>ROUND(C166*(1+'Løntabel gældende fra'!$D$7/100),0)</f>
        <v>401755</v>
      </c>
      <c r="G166" s="192">
        <f t="shared" si="9"/>
        <v>33479.58</v>
      </c>
      <c r="H166" s="1197">
        <f t="shared" si="10"/>
        <v>5021.9399999999996</v>
      </c>
      <c r="I166" s="1198"/>
    </row>
    <row r="167" spans="1:9" s="76" customFormat="1" ht="16" thickBot="1">
      <c r="A167" s="151">
        <v>42</v>
      </c>
      <c r="B167" s="382">
        <v>42</v>
      </c>
      <c r="C167" s="1260">
        <f>+'Statens skalatrin'!N129</f>
        <v>361659.2</v>
      </c>
      <c r="D167" s="1261"/>
      <c r="E167" s="172">
        <f t="shared" si="8"/>
        <v>30138.27</v>
      </c>
      <c r="F167" s="222">
        <f>ROUND(C167*(1+'Løntabel gældende fra'!$D$7/100),0)</f>
        <v>410159</v>
      </c>
      <c r="G167" s="172">
        <f t="shared" si="9"/>
        <v>34179.919999999998</v>
      </c>
      <c r="H167" s="1197">
        <f t="shared" si="10"/>
        <v>5126.99</v>
      </c>
      <c r="I167" s="1198"/>
    </row>
    <row r="168" spans="1:9" s="76" customFormat="1" ht="15">
      <c r="A168" s="1346" t="s">
        <v>443</v>
      </c>
      <c r="B168" s="1346"/>
      <c r="C168" s="1346"/>
      <c r="D168" s="1346"/>
      <c r="E168" s="1346"/>
      <c r="F168" s="1346"/>
      <c r="G168" s="1346"/>
      <c r="H168" s="1346"/>
      <c r="I168" s="1346"/>
    </row>
    <row r="169" spans="1:9" s="79" customFormat="1" ht="1" customHeight="1">
      <c r="A169" s="1347"/>
      <c r="B169" s="1347"/>
      <c r="C169" s="1347"/>
      <c r="D169" s="1347"/>
      <c r="E169" s="1347"/>
      <c r="F169" s="1347"/>
      <c r="G169" s="1347"/>
      <c r="H169" s="1347"/>
      <c r="I169" s="1347"/>
    </row>
    <row r="170" spans="1:9" s="76" customFormat="1" ht="15">
      <c r="A170" s="1347"/>
      <c r="B170" s="1347"/>
      <c r="C170" s="1347"/>
      <c r="D170" s="1347"/>
      <c r="E170" s="1347"/>
      <c r="F170" s="1347"/>
      <c r="G170" s="1347"/>
      <c r="H170" s="1347"/>
      <c r="I170" s="1347"/>
    </row>
    <row r="171" spans="1:9" s="76" customFormat="1" ht="15">
      <c r="A171" s="1347"/>
      <c r="B171" s="1347"/>
      <c r="C171" s="1347"/>
      <c r="D171" s="1347"/>
      <c r="E171" s="1347"/>
      <c r="F171" s="1347"/>
      <c r="G171" s="1347"/>
      <c r="H171" s="1347"/>
      <c r="I171" s="1347"/>
    </row>
    <row r="172" spans="1:9" s="76" customFormat="1" ht="15">
      <c r="A172" s="1347"/>
      <c r="B172" s="1347"/>
      <c r="C172" s="1347"/>
      <c r="D172" s="1347"/>
      <c r="E172" s="1347"/>
      <c r="F172" s="1347"/>
      <c r="G172" s="1347"/>
      <c r="H172" s="1347"/>
      <c r="I172" s="1347"/>
    </row>
    <row r="173" spans="1:9">
      <c r="A173" s="1347"/>
      <c r="B173" s="1347"/>
      <c r="C173" s="1347"/>
      <c r="D173" s="1347"/>
      <c r="E173" s="1347"/>
      <c r="F173" s="1347"/>
      <c r="G173" s="1347"/>
      <c r="H173" s="1347"/>
      <c r="I173" s="1347"/>
    </row>
    <row r="174" spans="1:9" ht="15">
      <c r="A174" s="1315"/>
      <c r="B174" s="1315"/>
      <c r="C174" s="1315"/>
      <c r="D174" s="1315"/>
      <c r="E174" s="1315"/>
      <c r="F174" s="1315"/>
      <c r="G174" s="1315"/>
      <c r="H174" s="1315"/>
      <c r="I174" s="76"/>
    </row>
    <row r="175" spans="1:9" ht="15">
      <c r="A175" s="82"/>
      <c r="B175" s="82"/>
      <c r="C175" s="82"/>
      <c r="D175" s="83"/>
      <c r="E175" s="81"/>
      <c r="F175" s="76"/>
      <c r="G175" s="76"/>
      <c r="H175" s="76"/>
      <c r="I175" s="76"/>
    </row>
    <row r="176" spans="1:9" ht="15">
      <c r="A176" s="82"/>
      <c r="B176" s="82"/>
      <c r="C176" s="82"/>
      <c r="D176" s="84"/>
      <c r="E176" s="85"/>
      <c r="F176" s="76"/>
      <c r="G176" s="76"/>
      <c r="H176" s="76"/>
      <c r="I176" s="76"/>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1"/>
      <c r="B219" s="1"/>
      <c r="C219" s="1"/>
      <c r="D219" s="1"/>
      <c r="E219" s="1"/>
      <c r="F219" s="1"/>
      <c r="G219" s="1"/>
      <c r="H219" s="1"/>
      <c r="I219" s="1"/>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sheetData>
  <sheetProtection sheet="1" objects="1" scenarios="1"/>
  <mergeCells count="248">
    <mergeCell ref="A92:G92"/>
    <mergeCell ref="A91:G91"/>
    <mergeCell ref="A79:I79"/>
    <mergeCell ref="A80:I80"/>
    <mergeCell ref="A84:I84"/>
    <mergeCell ref="A81:G82"/>
    <mergeCell ref="A83:G83"/>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A168:I173"/>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74:H174"/>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C152:D152"/>
    <mergeCell ref="B47:C47"/>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10:E110"/>
    <mergeCell ref="D109:E109"/>
    <mergeCell ref="A113:I113"/>
    <mergeCell ref="A106:G106"/>
    <mergeCell ref="A114:I114"/>
    <mergeCell ref="A69:F71"/>
    <mergeCell ref="D45:E45"/>
    <mergeCell ref="B45:C45"/>
    <mergeCell ref="B53:C53"/>
    <mergeCell ref="D53:E53"/>
    <mergeCell ref="F45:G45"/>
    <mergeCell ref="F46:G46"/>
    <mergeCell ref="A67:I67"/>
    <mergeCell ref="F47:G47"/>
    <mergeCell ref="F54:G54"/>
    <mergeCell ref="F97:G97"/>
    <mergeCell ref="A96:G96"/>
    <mergeCell ref="A68:I68"/>
    <mergeCell ref="A74:I74"/>
    <mergeCell ref="A86:I86"/>
    <mergeCell ref="D98:E98"/>
    <mergeCell ref="F98:G98"/>
    <mergeCell ref="F102:G102"/>
    <mergeCell ref="B64:C64"/>
    <mergeCell ref="A101:C102"/>
    <mergeCell ref="F101:G101"/>
    <mergeCell ref="D101:E101"/>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12" max="8" man="1"/>
    <brk id="1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SheetLayoutView="10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6" t="s">
        <v>473</v>
      </c>
      <c r="B1" s="1267"/>
      <c r="C1" s="1267"/>
      <c r="D1" s="1267"/>
      <c r="E1" s="1267"/>
      <c r="F1" s="1267"/>
      <c r="G1" s="1268"/>
      <c r="H1" s="2"/>
      <c r="N1" s="943"/>
      <c r="O1" s="943"/>
      <c r="P1" s="943"/>
    </row>
    <row r="2" spans="1:16" s="27" customFormat="1" ht="27" customHeight="1" thickBot="1">
      <c r="A2" s="1295" t="str">
        <f>'Forside 1'!A6:I6</f>
        <v>Gældende fra 1. august 2022</v>
      </c>
      <c r="B2" s="1296"/>
      <c r="C2" s="1296"/>
      <c r="D2" s="1296"/>
      <c r="E2" s="1296"/>
      <c r="F2" s="1296"/>
      <c r="G2" s="1012"/>
      <c r="H2" s="1012"/>
      <c r="I2" s="1013"/>
      <c r="N2" s="943"/>
      <c r="O2" s="943"/>
      <c r="P2" s="943"/>
    </row>
    <row r="3" spans="1:16" s="27" customFormat="1" ht="18" customHeight="1" thickBot="1">
      <c r="A3" s="954"/>
      <c r="B3" s="954"/>
      <c r="C3" s="954"/>
      <c r="D3" s="954"/>
      <c r="E3" s="954"/>
      <c r="F3" s="954"/>
      <c r="G3" s="953"/>
      <c r="H3" s="2"/>
      <c r="N3" s="943"/>
      <c r="O3" s="943"/>
      <c r="P3" s="943"/>
    </row>
    <row r="4" spans="1:16" ht="14" customHeight="1">
      <c r="A4" s="1404" t="s">
        <v>439</v>
      </c>
      <c r="B4" s="1405"/>
      <c r="C4" s="1405"/>
      <c r="D4" s="1405"/>
      <c r="E4" s="1405"/>
      <c r="F4" s="1406"/>
      <c r="G4" s="89"/>
      <c r="N4" s="1381"/>
      <c r="O4" s="1381"/>
      <c r="P4" s="1381"/>
    </row>
    <row r="5" spans="1:16" ht="14" customHeight="1">
      <c r="A5" s="1407"/>
      <c r="B5" s="1408"/>
      <c r="C5" s="1408"/>
      <c r="D5" s="1408"/>
      <c r="E5" s="1408"/>
      <c r="F5" s="1409"/>
      <c r="G5" s="89"/>
      <c r="H5" s="38"/>
      <c r="N5" s="559"/>
      <c r="O5" s="559"/>
      <c r="P5" s="559"/>
    </row>
    <row r="6" spans="1:16" customFormat="1" ht="15" customHeight="1" thickBot="1">
      <c r="A6" s="1263" t="s">
        <v>308</v>
      </c>
      <c r="B6" s="1264"/>
      <c r="C6" s="1264"/>
      <c r="D6" s="1264"/>
      <c r="E6" s="1264"/>
      <c r="F6" s="1265"/>
      <c r="G6" s="89"/>
      <c r="H6" s="38"/>
    </row>
    <row r="7" spans="1:16" customFormat="1" ht="15" customHeight="1">
      <c r="A7" s="1400"/>
      <c r="B7" s="1401"/>
      <c r="C7" s="1377" t="s">
        <v>131</v>
      </c>
      <c r="D7" s="1378"/>
      <c r="E7" s="1377" t="s">
        <v>340</v>
      </c>
      <c r="F7" s="1378"/>
      <c r="G7" s="77"/>
      <c r="H7" s="38"/>
    </row>
    <row r="8" spans="1:16" customFormat="1" ht="24" customHeight="1" thickBot="1">
      <c r="A8" s="1402"/>
      <c r="B8" s="1403"/>
      <c r="C8" s="1374">
        <v>40999</v>
      </c>
      <c r="D8" s="1370"/>
      <c r="E8" s="1369" t="str">
        <f>'Løntabel gældende fra'!D1</f>
        <v>01/04/2022</v>
      </c>
      <c r="F8" s="1370"/>
      <c r="G8" s="375"/>
      <c r="H8" s="38"/>
    </row>
    <row r="9" spans="1:16" customFormat="1" ht="17" customHeight="1" thickBot="1">
      <c r="A9" s="1379" t="s">
        <v>115</v>
      </c>
      <c r="B9" s="1380"/>
      <c r="C9" s="1383" t="s">
        <v>315</v>
      </c>
      <c r="D9" s="1372"/>
      <c r="E9" s="1383" t="s">
        <v>315</v>
      </c>
      <c r="F9" s="1372"/>
      <c r="G9" s="375"/>
      <c r="H9" s="38"/>
    </row>
    <row r="10" spans="1:16" customFormat="1" ht="17" customHeight="1">
      <c r="A10" s="1416" t="s">
        <v>116</v>
      </c>
      <c r="B10" s="1417"/>
      <c r="C10" s="107">
        <v>370554</v>
      </c>
      <c r="D10" s="108">
        <v>440413</v>
      </c>
      <c r="E10" s="107">
        <f>C10+C10*'Løntabel gældende fra'!$D$7%</f>
        <v>420246.77361600002</v>
      </c>
      <c r="F10" s="108">
        <f>D10+D10*'Løntabel gældende fra'!$D$7%</f>
        <v>499474.144952</v>
      </c>
      <c r="G10" s="59"/>
      <c r="H10" s="38"/>
    </row>
    <row r="11" spans="1:16" customFormat="1" ht="17" customHeight="1">
      <c r="A11" s="1394" t="s">
        <v>117</v>
      </c>
      <c r="B11" s="1395"/>
      <c r="C11" s="109">
        <v>406159</v>
      </c>
      <c r="D11" s="134">
        <v>486503</v>
      </c>
      <c r="E11" s="110">
        <f>C11+C11*'Løntabel gældende fra'!$D$7%</f>
        <v>460626.54653599998</v>
      </c>
      <c r="F11" s="105">
        <f>D11+D11*'Løntabel gældende fra'!$D$7%</f>
        <v>551744.99831199995</v>
      </c>
      <c r="G11" s="59"/>
      <c r="H11" s="38"/>
    </row>
    <row r="12" spans="1:16" customFormat="1" ht="17" customHeight="1">
      <c r="A12" s="1418" t="s">
        <v>437</v>
      </c>
      <c r="B12" s="1419"/>
      <c r="C12" s="110">
        <v>441765</v>
      </c>
      <c r="D12" s="105">
        <v>531283</v>
      </c>
      <c r="E12" s="110">
        <f>C12+C12*'Løntabel gældende fra'!$D$7%</f>
        <v>501007.45355999999</v>
      </c>
      <c r="F12" s="105">
        <f>D12+D12*'Løntabel gældende fra'!$D$7%</f>
        <v>602530.17543199996</v>
      </c>
      <c r="G12" s="59"/>
      <c r="H12" s="79"/>
    </row>
    <row r="13" spans="1:16" s="63" customFormat="1" ht="17" customHeight="1" thickBot="1">
      <c r="A13" s="1412" t="s">
        <v>438</v>
      </c>
      <c r="B13" s="1413"/>
      <c r="C13" s="785">
        <v>441765</v>
      </c>
      <c r="D13" s="786">
        <v>586331</v>
      </c>
      <c r="E13" s="785">
        <f>C13+C13*'Løntabel gældende fra'!$D$7%</f>
        <v>501007.45355999999</v>
      </c>
      <c r="F13" s="786">
        <f>D13+D13*'Løntabel gældende fra'!$D$7%</f>
        <v>664960.33242400002</v>
      </c>
      <c r="G13" s="59"/>
      <c r="H13" s="27"/>
    </row>
    <row r="14" spans="1:16" ht="18" customHeight="1" thickBot="1">
      <c r="A14" s="88"/>
      <c r="B14" s="88"/>
      <c r="C14" s="88"/>
      <c r="D14" s="88"/>
      <c r="E14" s="88"/>
      <c r="F14" s="88"/>
      <c r="G14" s="88"/>
      <c r="H14" s="27"/>
    </row>
    <row r="15" spans="1:16" ht="14" customHeight="1">
      <c r="A15" s="1243" t="s">
        <v>442</v>
      </c>
      <c r="B15" s="1244"/>
      <c r="C15" s="1244"/>
      <c r="D15" s="1244"/>
      <c r="E15" s="1244"/>
      <c r="F15" s="1245"/>
      <c r="G15" s="89"/>
      <c r="H15" s="802"/>
    </row>
    <row r="16" spans="1:16" ht="14" customHeight="1">
      <c r="A16" s="1391"/>
      <c r="B16" s="1392"/>
      <c r="C16" s="1392"/>
      <c r="D16" s="1392"/>
      <c r="E16" s="1392"/>
      <c r="F16" s="1393"/>
      <c r="G16" s="89"/>
      <c r="H16" s="802" t="s">
        <v>129</v>
      </c>
      <c r="I16" s="802"/>
      <c r="N16" s="559"/>
      <c r="O16" s="559"/>
      <c r="P16" s="559"/>
    </row>
    <row r="17" spans="1:16" customFormat="1" ht="15" customHeight="1" thickBot="1">
      <c r="A17" s="1263" t="s">
        <v>308</v>
      </c>
      <c r="B17" s="1264"/>
      <c r="C17" s="1264"/>
      <c r="D17" s="1264"/>
      <c r="E17" s="1264"/>
      <c r="F17" s="1265"/>
      <c r="G17" s="89"/>
      <c r="H17" s="803"/>
      <c r="I17" s="802"/>
    </row>
    <row r="18" spans="1:16" customFormat="1" ht="15" customHeight="1">
      <c r="A18" s="1217"/>
      <c r="B18" s="1219"/>
      <c r="C18" s="1373" t="s">
        <v>131</v>
      </c>
      <c r="D18" s="1180"/>
      <c r="E18" s="1373" t="s">
        <v>340</v>
      </c>
      <c r="F18" s="1180"/>
      <c r="G18" s="77"/>
      <c r="H18" s="802"/>
      <c r="I18" s="804"/>
    </row>
    <row r="19" spans="1:16" customFormat="1" ht="24" customHeight="1" thickBot="1">
      <c r="A19" s="1375"/>
      <c r="B19" s="1376"/>
      <c r="C19" s="1374">
        <v>40999</v>
      </c>
      <c r="D19" s="1370"/>
      <c r="E19" s="1369" t="str">
        <f>'Løntabel gældende fra'!D1</f>
        <v>01/04/2022</v>
      </c>
      <c r="F19" s="1370"/>
      <c r="G19" s="375"/>
      <c r="H19" s="803">
        <v>35388</v>
      </c>
      <c r="I19" s="802"/>
    </row>
    <row r="20" spans="1:16" customFormat="1" ht="17" customHeight="1" thickBot="1">
      <c r="A20" s="788" t="s">
        <v>115</v>
      </c>
      <c r="B20" s="455" t="s">
        <v>119</v>
      </c>
      <c r="C20" s="1371" t="s">
        <v>315</v>
      </c>
      <c r="D20" s="1372"/>
      <c r="E20" s="1383" t="s">
        <v>315</v>
      </c>
      <c r="F20" s="1372"/>
      <c r="G20" s="375"/>
      <c r="H20" s="803">
        <v>35388</v>
      </c>
      <c r="I20" s="804">
        <v>26213</v>
      </c>
      <c r="J20" s="899"/>
      <c r="K20" s="899"/>
    </row>
    <row r="21" spans="1:16" customFormat="1" ht="17" customHeight="1">
      <c r="A21" s="792" t="s">
        <v>120</v>
      </c>
      <c r="B21" s="791" t="s">
        <v>121</v>
      </c>
      <c r="C21" s="135">
        <f>C10+H19</f>
        <v>405942</v>
      </c>
      <c r="D21" s="136">
        <f>D10+I20</f>
        <v>466626</v>
      </c>
      <c r="E21" s="132">
        <f>C21+C21*'Løntabel gældende fra'!$D$7%</f>
        <v>460380.44596799999</v>
      </c>
      <c r="F21" s="133">
        <f>D21+D21*'Løntabel gældende fra'!$D$7%</f>
        <v>529202.41310400004</v>
      </c>
      <c r="G21" s="59"/>
      <c r="H21" s="803">
        <v>35388</v>
      </c>
      <c r="I21" s="804">
        <v>26213</v>
      </c>
      <c r="J21" s="899"/>
      <c r="K21" s="899"/>
    </row>
    <row r="22" spans="1:16" customFormat="1" ht="17" customHeight="1">
      <c r="A22" s="442" t="s">
        <v>117</v>
      </c>
      <c r="B22" s="99" t="s">
        <v>121</v>
      </c>
      <c r="C22" s="109">
        <f>C11+H20</f>
        <v>441547</v>
      </c>
      <c r="D22" s="134">
        <f>D11+I21</f>
        <v>512716</v>
      </c>
      <c r="E22" s="106">
        <f>C22+C22*'Løntabel gældende fra'!$D$7%</f>
        <v>500760.218888</v>
      </c>
      <c r="F22" s="105">
        <f>D22+D22*'Løntabel gældende fra'!$D$7%</f>
        <v>581473.26646399999</v>
      </c>
      <c r="G22" s="59"/>
      <c r="H22" s="804">
        <v>52426</v>
      </c>
      <c r="I22" s="804">
        <v>26213</v>
      </c>
      <c r="J22" s="899"/>
      <c r="K22" s="899"/>
    </row>
    <row r="23" spans="1:16" s="63" customFormat="1" ht="17" customHeight="1">
      <c r="A23" s="789" t="s">
        <v>118</v>
      </c>
      <c r="B23" s="790" t="s">
        <v>121</v>
      </c>
      <c r="C23" s="135">
        <f>C12+H21</f>
        <v>477153</v>
      </c>
      <c r="D23" s="136">
        <f>D12+I22</f>
        <v>557496</v>
      </c>
      <c r="E23" s="137">
        <f>C23+C23*'Løntabel gældende fra'!$D$7%</f>
        <v>541141.12591199996</v>
      </c>
      <c r="F23" s="138">
        <f>D23+D23*'Løntabel gældende fra'!$D$7%</f>
        <v>632258.44358399999</v>
      </c>
      <c r="G23" s="59"/>
      <c r="H23" s="804">
        <v>52426</v>
      </c>
      <c r="I23" s="804">
        <v>43252</v>
      </c>
    </row>
    <row r="24" spans="1:16" s="63" customFormat="1" ht="17" customHeight="1">
      <c r="A24" s="793" t="s">
        <v>122</v>
      </c>
      <c r="B24" s="795" t="s">
        <v>123</v>
      </c>
      <c r="C24" s="110">
        <f>C10+H22</f>
        <v>422980</v>
      </c>
      <c r="D24" s="105">
        <f>D10+I23</f>
        <v>483665</v>
      </c>
      <c r="E24" s="106">
        <f>C24+C24*'Løntabel gældende fra'!$D$7%</f>
        <v>479703.30992000003</v>
      </c>
      <c r="F24" s="105">
        <f>D24+D24*'Løntabel gældende fra'!$D$7%</f>
        <v>548526.41116000002</v>
      </c>
      <c r="G24" s="73"/>
      <c r="H24" s="804">
        <v>52426</v>
      </c>
      <c r="I24" s="804">
        <v>43252</v>
      </c>
    </row>
    <row r="25" spans="1:16" s="63" customFormat="1" ht="17" customHeight="1">
      <c r="A25" s="793" t="s">
        <v>117</v>
      </c>
      <c r="B25" s="795" t="s">
        <v>123</v>
      </c>
      <c r="C25" s="135">
        <f>C11+H23</f>
        <v>458585</v>
      </c>
      <c r="D25" s="136">
        <f>D11+I24</f>
        <v>529755</v>
      </c>
      <c r="E25" s="139">
        <f>C25+C25*'Løntabel gældende fra'!$D$7%</f>
        <v>520083.08283999999</v>
      </c>
      <c r="F25" s="136">
        <f>D25+D25*'Løntabel gældende fra'!$D$7%</f>
        <v>600797.26451999997</v>
      </c>
      <c r="G25" s="73"/>
      <c r="H25" s="805">
        <v>70776</v>
      </c>
      <c r="I25" s="804">
        <v>43252</v>
      </c>
    </row>
    <row r="26" spans="1:16" s="63" customFormat="1" ht="17" customHeight="1">
      <c r="A26" s="793" t="s">
        <v>118</v>
      </c>
      <c r="B26" s="795" t="s">
        <v>123</v>
      </c>
      <c r="C26" s="110">
        <f>C12+H24</f>
        <v>494191</v>
      </c>
      <c r="D26" s="105">
        <f>D12+I25</f>
        <v>574535</v>
      </c>
      <c r="E26" s="106">
        <f>C26+C26*'Løntabel gældende fra'!$D$7%</f>
        <v>560463.989864</v>
      </c>
      <c r="F26" s="105">
        <f>D26+D26*'Løntabel gældende fra'!$D$7%</f>
        <v>651582.44163999998</v>
      </c>
      <c r="G26" s="73"/>
      <c r="H26" s="805">
        <v>70776</v>
      </c>
      <c r="I26" s="805">
        <v>61601</v>
      </c>
    </row>
    <row r="27" spans="1:16" s="63" customFormat="1" ht="17" customHeight="1">
      <c r="A27" s="793" t="s">
        <v>122</v>
      </c>
      <c r="B27" s="795" t="s">
        <v>124</v>
      </c>
      <c r="C27" s="110">
        <f>C10+H25</f>
        <v>441330</v>
      </c>
      <c r="D27" s="105">
        <f>D10+I26</f>
        <v>502014</v>
      </c>
      <c r="E27" s="132">
        <f>C27+C27*'Løntabel gældende fra'!$D$7%</f>
        <v>500514.11832000001</v>
      </c>
      <c r="F27" s="133">
        <f>D27+D27*'Løntabel gældende fra'!$D$7%</f>
        <v>569336.08545599994</v>
      </c>
      <c r="G27" s="73"/>
      <c r="H27" s="805">
        <v>70776</v>
      </c>
      <c r="I27" s="805">
        <v>61601</v>
      </c>
    </row>
    <row r="28" spans="1:16" s="63" customFormat="1" ht="17" customHeight="1">
      <c r="A28" s="793" t="s">
        <v>117</v>
      </c>
      <c r="B28" s="795" t="s">
        <v>124</v>
      </c>
      <c r="C28" s="110">
        <f>C11+H26</f>
        <v>476935</v>
      </c>
      <c r="D28" s="105">
        <f>D11+I27</f>
        <v>548104</v>
      </c>
      <c r="E28" s="106">
        <f>C28+C28*'Løntabel gældende fra'!$D$7%</f>
        <v>540893.89124000003</v>
      </c>
      <c r="F28" s="105">
        <f>D28+D28*'Løntabel gældende fra'!$D$7%</f>
        <v>621606.93881600001</v>
      </c>
      <c r="G28" s="73"/>
      <c r="H28" s="805"/>
      <c r="I28" s="805">
        <v>61601</v>
      </c>
    </row>
    <row r="29" spans="1:16" s="63" customFormat="1" ht="18" customHeight="1" thickBot="1">
      <c r="A29" s="794" t="s">
        <v>118</v>
      </c>
      <c r="B29" s="796" t="s">
        <v>124</v>
      </c>
      <c r="C29" s="111">
        <f>C12+H27</f>
        <v>512541</v>
      </c>
      <c r="D29" s="113">
        <f>D12+I28</f>
        <v>592884</v>
      </c>
      <c r="E29" s="112">
        <f>C29+C29*'Løntabel gældende fra'!$D$7%</f>
        <v>581274.79826399998</v>
      </c>
      <c r="F29" s="113">
        <f>D29+D29*'Løntabel gældende fra'!$D$7%</f>
        <v>672392.11593600002</v>
      </c>
      <c r="G29" s="73"/>
      <c r="H29" s="2"/>
      <c r="I29" s="805"/>
    </row>
    <row r="30" spans="1:16" ht="24" customHeight="1" thickBot="1">
      <c r="A30" s="73"/>
      <c r="B30" s="73"/>
      <c r="C30" s="73"/>
      <c r="D30" s="73"/>
      <c r="E30" s="73"/>
      <c r="F30" s="73"/>
      <c r="G30" s="73"/>
      <c r="N30" s="1390"/>
      <c r="O30" s="1390"/>
      <c r="P30" s="1390"/>
    </row>
    <row r="31" spans="1:16" ht="11" customHeight="1">
      <c r="A31" s="1384" t="s">
        <v>462</v>
      </c>
      <c r="B31" s="1385"/>
      <c r="C31" s="1385"/>
      <c r="D31" s="1385"/>
      <c r="E31" s="1385"/>
      <c r="F31" s="1386"/>
      <c r="G31" s="89"/>
      <c r="N31" s="1381"/>
      <c r="O31" s="1381"/>
      <c r="P31" s="1381"/>
    </row>
    <row r="32" spans="1:16" ht="14" customHeight="1">
      <c r="A32" s="1387"/>
      <c r="B32" s="1388"/>
      <c r="C32" s="1388"/>
      <c r="D32" s="1388"/>
      <c r="E32" s="1388"/>
      <c r="F32" s="1389"/>
      <c r="G32" s="89"/>
      <c r="H32" s="38"/>
      <c r="N32" s="559"/>
      <c r="O32" s="559"/>
      <c r="P32" s="559"/>
    </row>
    <row r="33" spans="1:11" customFormat="1" ht="15" customHeight="1" thickBot="1">
      <c r="A33" s="1263" t="s">
        <v>308</v>
      </c>
      <c r="B33" s="1264"/>
      <c r="C33" s="1264"/>
      <c r="D33" s="1264"/>
      <c r="E33" s="1264"/>
      <c r="F33" s="1265"/>
      <c r="G33" s="89"/>
      <c r="H33" s="38"/>
    </row>
    <row r="34" spans="1:11" customFormat="1" ht="15" customHeight="1">
      <c r="A34" s="1217"/>
      <c r="B34" s="1219"/>
      <c r="C34" s="1373" t="s">
        <v>131</v>
      </c>
      <c r="D34" s="1180"/>
      <c r="E34" s="1373" t="s">
        <v>340</v>
      </c>
      <c r="F34" s="1180"/>
      <c r="G34" s="77"/>
      <c r="H34" s="38"/>
    </row>
    <row r="35" spans="1:11" customFormat="1" ht="24" customHeight="1" thickBot="1">
      <c r="A35" s="1220"/>
      <c r="B35" s="1222"/>
      <c r="C35" s="1374">
        <v>40999</v>
      </c>
      <c r="D35" s="1370"/>
      <c r="E35" s="1369" t="str">
        <f>'Løntabel gældende fra'!D1</f>
        <v>01/04/2022</v>
      </c>
      <c r="F35" s="1370"/>
      <c r="G35" s="375"/>
      <c r="H35" s="38"/>
    </row>
    <row r="36" spans="1:11" customFormat="1" ht="24" customHeight="1" thickBot="1">
      <c r="A36" s="1414" t="s">
        <v>115</v>
      </c>
      <c r="B36" s="1415"/>
      <c r="C36" s="1410" t="s">
        <v>259</v>
      </c>
      <c r="D36" s="1411"/>
      <c r="E36" s="1383" t="s">
        <v>259</v>
      </c>
      <c r="F36" s="1372"/>
      <c r="G36" s="375"/>
      <c r="H36" s="38"/>
    </row>
    <row r="37" spans="1:11" customFormat="1" ht="22" customHeight="1">
      <c r="A37" s="1426" t="s">
        <v>440</v>
      </c>
      <c r="B37" s="1427"/>
      <c r="C37" s="1430">
        <v>353412</v>
      </c>
      <c r="D37" s="1431"/>
      <c r="E37" s="1430">
        <f>C37+C37*'Løntabel gældende fra'!$D$7%</f>
        <v>400805.962848</v>
      </c>
      <c r="F37" s="1431"/>
      <c r="G37" s="59"/>
      <c r="H37" s="73"/>
    </row>
    <row r="38" spans="1:11" s="63" customFormat="1" ht="23" customHeight="1" thickBot="1">
      <c r="A38" s="1428" t="s">
        <v>118</v>
      </c>
      <c r="B38" s="1429"/>
      <c r="C38" s="1432">
        <v>396929</v>
      </c>
      <c r="D38" s="1433"/>
      <c r="E38" s="1443">
        <f>C38+C38*'Løntabel gældende fra'!$D$7%</f>
        <v>450158.76661599998</v>
      </c>
      <c r="F38" s="1444"/>
      <c r="G38" s="59"/>
      <c r="H38" s="73"/>
      <c r="I38" s="73"/>
      <c r="J38" s="73"/>
      <c r="K38" s="73"/>
    </row>
    <row r="39" spans="1:11" s="63" customFormat="1" ht="7" customHeight="1">
      <c r="A39" s="1445"/>
      <c r="B39" s="1445"/>
      <c r="C39" s="1445"/>
      <c r="D39" s="1445"/>
      <c r="E39" s="1445"/>
      <c r="F39" s="128"/>
      <c r="G39" s="73"/>
      <c r="H39" s="73"/>
      <c r="I39" s="73"/>
      <c r="J39" s="73"/>
      <c r="K39" s="73"/>
    </row>
    <row r="40" spans="1:11" s="63" customFormat="1" ht="54" customHeight="1" thickBot="1">
      <c r="A40" s="672"/>
      <c r="B40" s="673"/>
      <c r="C40" s="672"/>
      <c r="D40" s="674"/>
      <c r="E40" s="674"/>
      <c r="F40" s="674"/>
      <c r="G40" s="73"/>
      <c r="H40" s="73"/>
      <c r="I40" s="73"/>
      <c r="J40" s="73"/>
      <c r="K40" s="73"/>
    </row>
    <row r="41" spans="1:11" s="63" customFormat="1" ht="21" thickBot="1">
      <c r="A41" s="1434" t="s">
        <v>163</v>
      </c>
      <c r="B41" s="1435"/>
      <c r="C41" s="1435"/>
      <c r="D41" s="1435"/>
      <c r="E41" s="1435"/>
      <c r="F41" s="1435"/>
      <c r="G41" s="1436"/>
      <c r="H41" s="73"/>
      <c r="I41" s="73"/>
      <c r="J41" s="73"/>
      <c r="K41" s="73"/>
    </row>
    <row r="42" spans="1:11" s="63" customFormat="1" ht="50" customHeight="1">
      <c r="A42" s="1181" t="s">
        <v>463</v>
      </c>
      <c r="B42" s="1437" t="s">
        <v>472</v>
      </c>
      <c r="C42" s="1438"/>
      <c r="D42" s="1439"/>
      <c r="E42" s="663" t="s">
        <v>131</v>
      </c>
      <c r="F42" s="664" t="s">
        <v>340</v>
      </c>
      <c r="G42" s="571"/>
      <c r="H42" s="73"/>
      <c r="I42" s="73"/>
      <c r="J42" s="73"/>
      <c r="K42" s="73"/>
    </row>
    <row r="43" spans="1:11" s="63" customFormat="1" ht="21" thickBot="1">
      <c r="A43" s="1182"/>
      <c r="B43" s="1440"/>
      <c r="C43" s="1441"/>
      <c r="D43" s="1442"/>
      <c r="E43" s="797">
        <v>40999</v>
      </c>
      <c r="F43" s="798" t="str">
        <f>'Løntabel gældende fra'!$D$1</f>
        <v>01/04/2022</v>
      </c>
      <c r="G43" s="572"/>
      <c r="H43" s="73"/>
      <c r="I43" s="73"/>
      <c r="J43" s="73"/>
      <c r="K43" s="73"/>
    </row>
    <row r="44" spans="1:11" s="63" customFormat="1" ht="34" customHeight="1" thickBot="1">
      <c r="A44" s="1274"/>
      <c r="B44" s="1423" t="s">
        <v>471</v>
      </c>
      <c r="C44" s="1424"/>
      <c r="D44" s="1425"/>
      <c r="E44" s="574">
        <v>130000</v>
      </c>
      <c r="F44" s="575">
        <f>E44+E44*'Løntabel gældende fra'!$D$7%</f>
        <v>147433.51999999999</v>
      </c>
      <c r="G44" s="573"/>
      <c r="H44" s="73"/>
      <c r="I44" s="73"/>
      <c r="J44" s="73"/>
      <c r="K44" s="73"/>
    </row>
    <row r="45" spans="1:11" s="63" customFormat="1" ht="21" thickBot="1">
      <c r="A45" s="216" t="s">
        <v>464</v>
      </c>
      <c r="B45" s="1420" t="s">
        <v>441</v>
      </c>
      <c r="C45" s="1421"/>
      <c r="D45" s="1421"/>
      <c r="E45" s="1421"/>
      <c r="F45" s="1421"/>
      <c r="G45" s="1422"/>
      <c r="H45" s="86"/>
      <c r="I45" s="73"/>
      <c r="J45" s="73"/>
      <c r="K45" s="73"/>
    </row>
    <row r="46" spans="1:11" ht="36" customHeight="1" thickBot="1">
      <c r="A46" s="63"/>
      <c r="B46" s="82"/>
      <c r="C46" s="63"/>
      <c r="D46" s="127"/>
      <c r="E46" s="127"/>
      <c r="F46" s="127"/>
      <c r="G46" s="73"/>
      <c r="H46" s="87"/>
    </row>
    <row r="47" spans="1:11" ht="34" customHeight="1">
      <c r="A47" s="1384" t="s">
        <v>486</v>
      </c>
      <c r="B47" s="1385"/>
      <c r="C47" s="1385"/>
      <c r="D47" s="1385"/>
      <c r="E47" s="1385"/>
      <c r="F47" s="1385"/>
      <c r="G47" s="1386"/>
      <c r="H47" s="87"/>
    </row>
    <row r="48" spans="1:11" s="79" customFormat="1" ht="26" customHeight="1" thickBot="1">
      <c r="A48" s="1350" t="str">
        <f>'Løntabel gældende fra'!$D$1</f>
        <v>01/04/2022</v>
      </c>
      <c r="B48" s="1351"/>
      <c r="C48" s="1351"/>
      <c r="D48" s="1351"/>
      <c r="E48" s="1351"/>
      <c r="F48" s="1351"/>
      <c r="G48" s="1447"/>
      <c r="H48" s="87"/>
    </row>
    <row r="49" spans="1:8" s="79" customFormat="1" ht="26" customHeight="1">
      <c r="A49" s="1396" t="s">
        <v>88</v>
      </c>
      <c r="B49" s="1397"/>
      <c r="C49" s="1397"/>
      <c r="D49" s="1397"/>
      <c r="E49" s="1397"/>
      <c r="F49" s="1398"/>
      <c r="G49" s="1016"/>
      <c r="H49" s="87"/>
    </row>
    <row r="50" spans="1:8" s="79" customFormat="1" ht="32" customHeight="1">
      <c r="A50" s="1451" t="s">
        <v>488</v>
      </c>
      <c r="B50" s="1452"/>
      <c r="C50" s="1452"/>
      <c r="D50" s="1452"/>
      <c r="E50" s="1452"/>
      <c r="F50" s="1453"/>
      <c r="G50" s="1017"/>
      <c r="H50" s="87"/>
    </row>
    <row r="51" spans="1:8" s="79" customFormat="1" ht="30" customHeight="1">
      <c r="A51" s="1399" t="s">
        <v>487</v>
      </c>
      <c r="B51" s="1399"/>
      <c r="C51" s="1399"/>
      <c r="D51" s="1399"/>
      <c r="E51" s="1399"/>
      <c r="F51" s="1399"/>
      <c r="G51" s="1017"/>
      <c r="H51" s="87"/>
    </row>
    <row r="52" spans="1:8" s="79" customFormat="1" ht="47" customHeight="1">
      <c r="A52" s="1448" t="s">
        <v>125</v>
      </c>
      <c r="B52" s="1448"/>
      <c r="C52" s="1448"/>
      <c r="D52" s="1448"/>
      <c r="E52" s="1448"/>
      <c r="F52" s="1448"/>
      <c r="G52" s="1448"/>
      <c r="H52" s="87"/>
    </row>
    <row r="53" spans="1:8" s="79" customFormat="1" ht="14" customHeight="1">
      <c r="A53" s="91"/>
      <c r="B53" s="91"/>
      <c r="C53" s="91"/>
      <c r="D53" s="91"/>
      <c r="E53" s="91"/>
      <c r="F53" s="91"/>
      <c r="G53" s="91"/>
      <c r="H53" s="87"/>
    </row>
    <row r="54" spans="1:8" s="79" customFormat="1" ht="14" customHeight="1">
      <c r="A54" s="1399" t="s">
        <v>126</v>
      </c>
      <c r="B54" s="1449" t="s">
        <v>511</v>
      </c>
      <c r="C54" s="1449"/>
      <c r="D54" s="1449"/>
      <c r="E54" s="1449"/>
      <c r="F54" s="1449"/>
      <c r="G54" s="1449"/>
      <c r="H54" s="87"/>
    </row>
    <row r="55" spans="1:8" s="79" customFormat="1" ht="14" customHeight="1">
      <c r="A55" s="1399"/>
      <c r="B55" s="90" t="s">
        <v>512</v>
      </c>
      <c r="C55" s="799"/>
      <c r="D55" s="799"/>
      <c r="E55" s="799"/>
      <c r="F55" s="799"/>
      <c r="G55" s="799"/>
      <c r="H55" s="87"/>
    </row>
    <row r="56" spans="1:8" s="79" customFormat="1" ht="14" customHeight="1">
      <c r="A56" s="1399"/>
      <c r="B56" s="1449" t="s">
        <v>513</v>
      </c>
      <c r="C56" s="1449"/>
      <c r="D56" s="1449"/>
      <c r="E56" s="1449"/>
      <c r="F56" s="1449"/>
      <c r="G56" s="1449"/>
      <c r="H56" s="87"/>
    </row>
    <row r="57" spans="1:8" s="79" customFormat="1" ht="14" customHeight="1">
      <c r="A57" s="92"/>
      <c r="B57" s="1449"/>
      <c r="C57" s="1449"/>
      <c r="D57" s="1449"/>
      <c r="E57" s="1449"/>
      <c r="F57" s="1449"/>
      <c r="G57" s="1449"/>
      <c r="H57" s="87"/>
    </row>
    <row r="58" spans="1:8" s="79" customFormat="1" ht="14" customHeight="1">
      <c r="A58" s="554"/>
      <c r="B58" s="553"/>
      <c r="C58" s="553"/>
      <c r="D58" s="553"/>
      <c r="E58" s="553"/>
      <c r="F58" s="553"/>
      <c r="G58" s="553"/>
      <c r="H58" s="87"/>
    </row>
    <row r="59" spans="1:8" s="79" customFormat="1" ht="14" customHeight="1">
      <c r="A59" s="1399" t="s">
        <v>127</v>
      </c>
      <c r="B59" s="1449" t="s">
        <v>514</v>
      </c>
      <c r="C59" s="1449"/>
      <c r="D59" s="1449"/>
      <c r="E59" s="1449"/>
      <c r="F59" s="1449"/>
      <c r="G59" s="1449"/>
      <c r="H59" s="87"/>
    </row>
    <row r="60" spans="1:8" s="79" customFormat="1" ht="14" customHeight="1">
      <c r="A60" s="1399"/>
      <c r="B60" s="90" t="s">
        <v>515</v>
      </c>
      <c r="C60" s="799"/>
      <c r="D60" s="799"/>
      <c r="E60" s="799"/>
      <c r="F60" s="799"/>
      <c r="G60" s="799"/>
      <c r="H60" s="87"/>
    </row>
    <row r="61" spans="1:8" s="79" customFormat="1" ht="14" customHeight="1">
      <c r="A61" s="1399"/>
      <c r="B61" s="1449" t="s">
        <v>516</v>
      </c>
      <c r="C61" s="1449"/>
      <c r="D61" s="1449"/>
      <c r="E61" s="1449"/>
      <c r="F61" s="1449"/>
      <c r="G61" s="1449"/>
      <c r="H61" s="87"/>
    </row>
    <row r="62" spans="1:8" s="79" customFormat="1" ht="12" customHeight="1">
      <c r="A62" s="554"/>
      <c r="B62" s="1449"/>
      <c r="C62" s="1449"/>
      <c r="D62" s="1449"/>
      <c r="E62" s="1449"/>
      <c r="F62" s="1449"/>
      <c r="G62" s="1449"/>
      <c r="H62" s="2"/>
    </row>
    <row r="63" spans="1:8" ht="18" customHeight="1" thickBot="1">
      <c r="A63" s="73"/>
      <c r="B63" s="73"/>
      <c r="C63" s="73"/>
      <c r="D63" s="73"/>
      <c r="E63" s="73"/>
      <c r="F63" s="73"/>
      <c r="G63" s="73"/>
    </row>
    <row r="64" spans="1:8" ht="18" customHeight="1">
      <c r="A64" s="1181" t="s">
        <v>57</v>
      </c>
      <c r="B64" s="1152" t="s">
        <v>23</v>
      </c>
      <c r="C64" s="1201"/>
      <c r="D64" s="1152" t="s">
        <v>24</v>
      </c>
      <c r="E64" s="1201"/>
      <c r="F64" s="653" t="s">
        <v>343</v>
      </c>
      <c r="G64" s="1181" t="s">
        <v>95</v>
      </c>
    </row>
    <row r="65" spans="1:8" ht="19" customHeight="1" thickBot="1">
      <c r="A65" s="1182"/>
      <c r="B65" s="656">
        <v>40999</v>
      </c>
      <c r="C65" s="657"/>
      <c r="D65" s="1167" t="str">
        <f>'Løntabel gældende fra'!$D$1</f>
        <v>01/04/2022</v>
      </c>
      <c r="E65" s="1450"/>
      <c r="F65" s="654" t="str">
        <f>'Løntabel gældende fra'!$D$1</f>
        <v>01/04/2022</v>
      </c>
      <c r="G65" s="1182"/>
      <c r="H65" s="51"/>
    </row>
    <row r="66" spans="1:8" ht="14" customHeight="1" thickBot="1">
      <c r="A66" s="1182"/>
      <c r="B66" s="658" t="s">
        <v>86</v>
      </c>
      <c r="C66" s="655" t="s">
        <v>161</v>
      </c>
      <c r="D66" s="339" t="s">
        <v>86</v>
      </c>
      <c r="E66" s="432" t="s">
        <v>161</v>
      </c>
      <c r="F66" s="432" t="s">
        <v>161</v>
      </c>
      <c r="G66" s="344">
        <v>0.15</v>
      </c>
    </row>
    <row r="67" spans="1:8">
      <c r="A67" s="377">
        <v>31</v>
      </c>
      <c r="B67" s="446">
        <f>+'Statens skalatrin'!N96</f>
        <v>290512.64000000001</v>
      </c>
      <c r="C67" s="446">
        <f>ROUND(B67/12,2)</f>
        <v>24209.39</v>
      </c>
      <c r="D67" s="447">
        <f>ROUND(B67*(1+'Løntabel gældende fra'!$D$7/100),0)</f>
        <v>329472</v>
      </c>
      <c r="E67" s="925">
        <f>ROUND(D67/12,2)</f>
        <v>27456</v>
      </c>
      <c r="F67" s="926">
        <f>ROUND(E67*15%,2)</f>
        <v>4118.3999999999996</v>
      </c>
      <c r="G67" s="448">
        <f>F67*$G$66</f>
        <v>617.75999999999988</v>
      </c>
    </row>
    <row r="68" spans="1:8">
      <c r="A68" s="442">
        <v>32</v>
      </c>
      <c r="B68" s="192">
        <f>+'Statens skalatrin'!N99</f>
        <v>296125.21000000002</v>
      </c>
      <c r="C68" s="661">
        <f t="shared" ref="C68:C86" si="0">ROUND(B68/12,2)</f>
        <v>24677.1</v>
      </c>
      <c r="D68" s="659">
        <f>ROUND(B68*(1+'Løntabel gældende fra'!$D$7/100),0)</f>
        <v>335837</v>
      </c>
      <c r="E68" s="927">
        <f t="shared" ref="E68:E86" si="1">ROUND(D68/12,2)</f>
        <v>27986.42</v>
      </c>
      <c r="F68" s="918">
        <f t="shared" ref="F68:F86" si="2">ROUND(E68*15%,2)</f>
        <v>4197.96</v>
      </c>
      <c r="G68" s="191">
        <f t="shared" ref="G68:G86" si="3">F68*$G$66</f>
        <v>629.69399999999996</v>
      </c>
    </row>
    <row r="69" spans="1:8">
      <c r="A69" s="442">
        <v>33</v>
      </c>
      <c r="B69" s="192">
        <f>+'Statens skalatrin'!N102</f>
        <v>301881.8</v>
      </c>
      <c r="C69" s="661">
        <f t="shared" si="0"/>
        <v>25156.82</v>
      </c>
      <c r="D69" s="659">
        <f>ROUND(B69*(1+'Løntabel gældende fra'!$D$7/100),0)</f>
        <v>342365</v>
      </c>
      <c r="E69" s="927">
        <f t="shared" si="1"/>
        <v>28530.42</v>
      </c>
      <c r="F69" s="918">
        <f t="shared" si="2"/>
        <v>4279.5600000000004</v>
      </c>
      <c r="G69" s="191">
        <f t="shared" si="3"/>
        <v>641.93400000000008</v>
      </c>
    </row>
    <row r="70" spans="1:8">
      <c r="A70" s="442">
        <v>34</v>
      </c>
      <c r="B70" s="192">
        <f>+'Statens skalatrin'!N105</f>
        <v>307790.62</v>
      </c>
      <c r="C70" s="661">
        <f t="shared" si="0"/>
        <v>25649.22</v>
      </c>
      <c r="D70" s="659">
        <f>ROUND(B70*(1+'Løntabel gældende fra'!$D$7/100),0)</f>
        <v>349067</v>
      </c>
      <c r="E70" s="927">
        <f t="shared" si="1"/>
        <v>29088.92</v>
      </c>
      <c r="F70" s="918">
        <f t="shared" si="2"/>
        <v>4363.34</v>
      </c>
      <c r="G70" s="191">
        <f t="shared" si="3"/>
        <v>654.50099999999998</v>
      </c>
    </row>
    <row r="71" spans="1:8">
      <c r="A71" s="442">
        <v>35</v>
      </c>
      <c r="B71" s="192">
        <f>+'Statens skalatrin'!N108</f>
        <v>313854.56</v>
      </c>
      <c r="C71" s="661">
        <f t="shared" si="0"/>
        <v>26154.55</v>
      </c>
      <c r="D71" s="659">
        <f>ROUND(B71*(1+'Løntabel gældende fra'!$D$7/100),0)</f>
        <v>355944</v>
      </c>
      <c r="E71" s="927">
        <f t="shared" si="1"/>
        <v>29662</v>
      </c>
      <c r="F71" s="918">
        <f t="shared" si="2"/>
        <v>4449.3</v>
      </c>
      <c r="G71" s="191">
        <f t="shared" si="3"/>
        <v>667.39499999999998</v>
      </c>
    </row>
    <row r="72" spans="1:8">
      <c r="A72" s="442">
        <v>36</v>
      </c>
      <c r="B72" s="192">
        <f>+'Statens skalatrin'!N111</f>
        <v>320074.68</v>
      </c>
      <c r="C72" s="661">
        <f t="shared" si="0"/>
        <v>26672.89</v>
      </c>
      <c r="D72" s="659">
        <f>ROUND(B72*(1+'Løntabel gældende fra'!$D$7/100),0)</f>
        <v>362998</v>
      </c>
      <c r="E72" s="927">
        <f t="shared" si="1"/>
        <v>30249.83</v>
      </c>
      <c r="F72" s="918">
        <f t="shared" si="2"/>
        <v>4537.47</v>
      </c>
      <c r="G72" s="191">
        <f t="shared" si="3"/>
        <v>680.62049999999999</v>
      </c>
    </row>
    <row r="73" spans="1:8">
      <c r="A73" s="442">
        <v>37</v>
      </c>
      <c r="B73" s="192">
        <f>+'Statens skalatrin'!N114</f>
        <v>326457.34000000003</v>
      </c>
      <c r="C73" s="661">
        <f t="shared" si="0"/>
        <v>27204.78</v>
      </c>
      <c r="D73" s="659">
        <f>ROUND(B73*(1+'Løntabel gældende fra'!$D$7/100),0)</f>
        <v>370237</v>
      </c>
      <c r="E73" s="927">
        <f t="shared" si="1"/>
        <v>30853.08</v>
      </c>
      <c r="F73" s="918">
        <f t="shared" si="2"/>
        <v>4627.96</v>
      </c>
      <c r="G73" s="191">
        <f t="shared" si="3"/>
        <v>694.19399999999996</v>
      </c>
    </row>
    <row r="74" spans="1:8">
      <c r="A74" s="442">
        <v>38</v>
      </c>
      <c r="B74" s="192">
        <f>+'Statens skalatrin'!N117</f>
        <v>333128.88</v>
      </c>
      <c r="C74" s="661">
        <f t="shared" si="0"/>
        <v>27760.74</v>
      </c>
      <c r="D74" s="659">
        <f>ROUND(B74*(1+'Løntabel gældende fra'!$D$7/100),0)</f>
        <v>377803</v>
      </c>
      <c r="E74" s="927">
        <f t="shared" si="1"/>
        <v>31483.58</v>
      </c>
      <c r="F74" s="918">
        <f t="shared" si="2"/>
        <v>4722.54</v>
      </c>
      <c r="G74" s="191">
        <f t="shared" si="3"/>
        <v>708.38099999999997</v>
      </c>
    </row>
    <row r="75" spans="1:8">
      <c r="A75" s="442">
        <v>39</v>
      </c>
      <c r="B75" s="192">
        <f>+'Statens skalatrin'!N120</f>
        <v>339989.41</v>
      </c>
      <c r="C75" s="661">
        <f t="shared" si="0"/>
        <v>28332.45</v>
      </c>
      <c r="D75" s="659">
        <f>ROUND(B75*(1+'Løntabel gældende fra'!$D$7/100),0)</f>
        <v>385583</v>
      </c>
      <c r="E75" s="927">
        <f t="shared" si="1"/>
        <v>32131.919999999998</v>
      </c>
      <c r="F75" s="918">
        <f t="shared" si="2"/>
        <v>4819.79</v>
      </c>
      <c r="G75" s="191">
        <f t="shared" si="3"/>
        <v>722.96849999999995</v>
      </c>
    </row>
    <row r="76" spans="1:8">
      <c r="A76" s="442">
        <v>40</v>
      </c>
      <c r="B76" s="192">
        <f>+'Statens skalatrin'!N123</f>
        <v>347027.46</v>
      </c>
      <c r="C76" s="661">
        <f t="shared" si="0"/>
        <v>28918.959999999999</v>
      </c>
      <c r="D76" s="659">
        <f>ROUND(B76*(1+'Løntabel gældende fra'!$D$7/100),0)</f>
        <v>393565</v>
      </c>
      <c r="E76" s="927">
        <f t="shared" si="1"/>
        <v>32797.08</v>
      </c>
      <c r="F76" s="918">
        <f t="shared" si="2"/>
        <v>4919.5600000000004</v>
      </c>
      <c r="G76" s="191">
        <f t="shared" si="3"/>
        <v>737.93400000000008</v>
      </c>
    </row>
    <row r="77" spans="1:8">
      <c r="A77" s="442">
        <v>41</v>
      </c>
      <c r="B77" s="192">
        <f>+'Statens skalatrin'!N126</f>
        <v>354249.23</v>
      </c>
      <c r="C77" s="661">
        <f t="shared" si="0"/>
        <v>29520.77</v>
      </c>
      <c r="D77" s="659">
        <f>ROUND(B77*(1+'Løntabel gældende fra'!$D$7/100),0)</f>
        <v>401755</v>
      </c>
      <c r="E77" s="927">
        <f t="shared" si="1"/>
        <v>33479.58</v>
      </c>
      <c r="F77" s="918">
        <f t="shared" si="2"/>
        <v>5021.9399999999996</v>
      </c>
      <c r="G77" s="191">
        <f t="shared" si="3"/>
        <v>753.29099999999994</v>
      </c>
    </row>
    <row r="78" spans="1:8">
      <c r="A78" s="442">
        <v>42</v>
      </c>
      <c r="B78" s="192">
        <f>+'Statens skalatrin'!N129</f>
        <v>361659.2</v>
      </c>
      <c r="C78" s="661">
        <f t="shared" si="0"/>
        <v>30138.27</v>
      </c>
      <c r="D78" s="659">
        <f>ROUND(B78*(1+'Løntabel gældende fra'!$D$7/100),0)</f>
        <v>410159</v>
      </c>
      <c r="E78" s="927">
        <f t="shared" si="1"/>
        <v>34179.919999999998</v>
      </c>
      <c r="F78" s="918">
        <f t="shared" si="2"/>
        <v>5126.99</v>
      </c>
      <c r="G78" s="191">
        <f t="shared" si="3"/>
        <v>769.04849999999999</v>
      </c>
    </row>
    <row r="79" spans="1:8">
      <c r="A79" s="442">
        <v>43</v>
      </c>
      <c r="B79" s="192">
        <f>+'Statens skalatrin'!N132</f>
        <v>369688.53</v>
      </c>
      <c r="C79" s="661">
        <f t="shared" si="0"/>
        <v>30807.38</v>
      </c>
      <c r="D79" s="659">
        <f>ROUND(B79*(1+'Løntabel gældende fra'!$D$7/100),0)</f>
        <v>419265</v>
      </c>
      <c r="E79" s="927">
        <f t="shared" si="1"/>
        <v>34938.75</v>
      </c>
      <c r="F79" s="918">
        <f t="shared" si="2"/>
        <v>5240.8100000000004</v>
      </c>
      <c r="G79" s="191">
        <f t="shared" si="3"/>
        <v>786.12150000000008</v>
      </c>
    </row>
    <row r="80" spans="1:8">
      <c r="A80" s="442">
        <v>44</v>
      </c>
      <c r="B80" s="192">
        <f>+'Statens skalatrin'!N135</f>
        <v>377937.3</v>
      </c>
      <c r="C80" s="661">
        <f t="shared" si="0"/>
        <v>31494.78</v>
      </c>
      <c r="D80" s="659">
        <f>ROUND(B80*(1+'Løntabel gældende fra'!$D$7/100),0)</f>
        <v>428620</v>
      </c>
      <c r="E80" s="927">
        <f t="shared" si="1"/>
        <v>35718.33</v>
      </c>
      <c r="F80" s="918">
        <f t="shared" si="2"/>
        <v>5357.75</v>
      </c>
      <c r="G80" s="191">
        <f t="shared" si="3"/>
        <v>803.66250000000002</v>
      </c>
      <c r="H80" s="79"/>
    </row>
    <row r="81" spans="1:8" s="79" customFormat="1">
      <c r="A81" s="442">
        <v>45</v>
      </c>
      <c r="B81" s="192">
        <f>+'Statens skalatrin'!N138</f>
        <v>386414.29</v>
      </c>
      <c r="C81" s="661">
        <f t="shared" si="0"/>
        <v>32201.19</v>
      </c>
      <c r="D81" s="659">
        <f>ROUND(B81*(1+'Løntabel gældende fra'!$D$7/100),0)</f>
        <v>438234</v>
      </c>
      <c r="E81" s="927">
        <f t="shared" si="1"/>
        <v>36519.5</v>
      </c>
      <c r="F81" s="918">
        <f t="shared" si="2"/>
        <v>5477.93</v>
      </c>
      <c r="G81" s="191">
        <f t="shared" si="3"/>
        <v>821.68950000000007</v>
      </c>
    </row>
    <row r="82" spans="1:8" s="79" customFormat="1">
      <c r="A82" s="442">
        <v>46</v>
      </c>
      <c r="B82" s="192">
        <f>+'Statens skalatrin'!N141</f>
        <v>395124.74</v>
      </c>
      <c r="C82" s="661">
        <f t="shared" si="0"/>
        <v>32927.06</v>
      </c>
      <c r="D82" s="659">
        <f>ROUND(B82*(1+'Løntabel gældende fra'!$D$7/100),0)</f>
        <v>448113</v>
      </c>
      <c r="E82" s="927">
        <f t="shared" si="1"/>
        <v>37342.75</v>
      </c>
      <c r="F82" s="918">
        <f t="shared" si="2"/>
        <v>5601.41</v>
      </c>
      <c r="G82" s="191">
        <f t="shared" si="3"/>
        <v>840.2115</v>
      </c>
    </row>
    <row r="83" spans="1:8" s="79" customFormat="1">
      <c r="A83" s="442">
        <v>47</v>
      </c>
      <c r="B83" s="192">
        <f>+'Statens skalatrin'!N144</f>
        <v>413268.87</v>
      </c>
      <c r="C83" s="661">
        <f t="shared" si="0"/>
        <v>34439.07</v>
      </c>
      <c r="D83" s="659">
        <f>ROUND(B83*(1+'Løntabel gældende fra'!$D$7/100),0)</f>
        <v>468690</v>
      </c>
      <c r="E83" s="927">
        <f t="shared" si="1"/>
        <v>39057.5</v>
      </c>
      <c r="F83" s="918">
        <f t="shared" si="2"/>
        <v>5858.63</v>
      </c>
      <c r="G83" s="191">
        <f t="shared" si="3"/>
        <v>878.79449999999997</v>
      </c>
      <c r="H83" s="27"/>
    </row>
    <row r="84" spans="1:8" s="27" customFormat="1">
      <c r="A84" s="442">
        <v>48</v>
      </c>
      <c r="B84" s="192">
        <f>+'Statens skalatrin'!N147</f>
        <v>441025.75</v>
      </c>
      <c r="C84" s="661">
        <f t="shared" si="0"/>
        <v>36752.15</v>
      </c>
      <c r="D84" s="659">
        <f>ROUND(B84*(1+'Løntabel gældende fra'!$D$7/100),0)</f>
        <v>500169</v>
      </c>
      <c r="E84" s="927">
        <f t="shared" si="1"/>
        <v>41680.75</v>
      </c>
      <c r="F84" s="918">
        <f t="shared" si="2"/>
        <v>6252.11</v>
      </c>
      <c r="G84" s="191">
        <f t="shared" si="3"/>
        <v>937.81649999999991</v>
      </c>
    </row>
    <row r="85" spans="1:8" s="27" customFormat="1" ht="15" customHeight="1">
      <c r="A85" s="442">
        <v>49</v>
      </c>
      <c r="B85" s="192">
        <f>+'Statens skalatrin'!N150</f>
        <v>471780.9</v>
      </c>
      <c r="C85" s="661">
        <f t="shared" si="0"/>
        <v>39315.08</v>
      </c>
      <c r="D85" s="659">
        <f>ROUND(B85*(1+'Løntabel gældende fra'!$D$7/100),0)</f>
        <v>535049</v>
      </c>
      <c r="E85" s="927">
        <f t="shared" si="1"/>
        <v>44587.42</v>
      </c>
      <c r="F85" s="918">
        <f t="shared" si="2"/>
        <v>6688.11</v>
      </c>
      <c r="G85" s="191">
        <f t="shared" si="3"/>
        <v>1003.2164999999999</v>
      </c>
      <c r="H85" s="2"/>
    </row>
    <row r="86" spans="1:8" ht="16" customHeight="1" thickBot="1">
      <c r="A86" s="379">
        <v>50</v>
      </c>
      <c r="B86" s="172">
        <f>+'Statens skalatrin'!N153</f>
        <v>521094.47</v>
      </c>
      <c r="C86" s="662">
        <f t="shared" si="0"/>
        <v>43424.54</v>
      </c>
      <c r="D86" s="660">
        <f>ROUND(B86*(1+'Løntabel gældende fra'!$D$7/100),0)</f>
        <v>590975</v>
      </c>
      <c r="E86" s="928">
        <f t="shared" si="1"/>
        <v>49247.92</v>
      </c>
      <c r="F86" s="919">
        <f t="shared" si="2"/>
        <v>7387.19</v>
      </c>
      <c r="G86" s="373">
        <f t="shared" si="3"/>
        <v>1108.0784999999998</v>
      </c>
      <c r="H86" s="79"/>
    </row>
    <row r="87" spans="1:8" s="79" customFormat="1" ht="57" customHeight="1">
      <c r="A87" s="1446" t="s">
        <v>248</v>
      </c>
      <c r="B87" s="1446"/>
      <c r="C87" s="1446"/>
      <c r="D87" s="1446"/>
      <c r="E87" s="1446"/>
      <c r="F87" s="1446"/>
      <c r="G87" s="1446"/>
    </row>
    <row r="88" spans="1:8" s="79" customFormat="1" ht="15" customHeight="1">
      <c r="A88" s="78"/>
      <c r="B88" s="78"/>
      <c r="C88" s="78"/>
      <c r="D88" s="78"/>
      <c r="E88" s="78"/>
      <c r="F88" s="78"/>
      <c r="G88" s="78"/>
      <c r="H88" s="2"/>
    </row>
    <row r="89" spans="1:8">
      <c r="A89" s="1382"/>
      <c r="B89" s="1382"/>
      <c r="C89" s="1382"/>
      <c r="D89" s="1382"/>
      <c r="E89" s="1382"/>
      <c r="F89" s="1382"/>
      <c r="G89" s="1382"/>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86" sqref="A86:G86"/>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493" t="s">
        <v>388</v>
      </c>
      <c r="B1" s="1494"/>
      <c r="C1" s="1494"/>
      <c r="D1" s="1494"/>
      <c r="E1" s="1494"/>
      <c r="F1" s="1494"/>
      <c r="G1" s="1495"/>
      <c r="H1" s="711"/>
      <c r="I1" s="711"/>
    </row>
    <row r="2" spans="1:9" ht="20" customHeight="1" thickBot="1">
      <c r="A2" s="1295" t="str">
        <f>'Forside 1'!A6:I6</f>
        <v>Gældende fra 1. august 2022</v>
      </c>
      <c r="B2" s="1296"/>
      <c r="C2" s="1296"/>
      <c r="D2" s="1296"/>
      <c r="E2" s="1296"/>
      <c r="F2" s="1296"/>
      <c r="G2" s="1297"/>
    </row>
    <row r="3" spans="1:9" s="27" customFormat="1" ht="11.25" customHeight="1" thickBot="1">
      <c r="A3" s="690"/>
      <c r="B3" s="690"/>
      <c r="C3" s="690"/>
      <c r="D3" s="690"/>
    </row>
    <row r="4" spans="1:9" s="691" customFormat="1" ht="21.75" customHeight="1" thickBot="1">
      <c r="A4" s="1622" t="s">
        <v>387</v>
      </c>
      <c r="B4" s="1623"/>
      <c r="C4" s="1623"/>
      <c r="D4" s="1623"/>
      <c r="E4" s="1623"/>
      <c r="F4" s="1623"/>
      <c r="G4" s="1624"/>
      <c r="H4" s="672"/>
    </row>
    <row r="5" spans="1:9" ht="8.25" customHeight="1" thickBot="1">
      <c r="A5" s="1625"/>
      <c r="B5" s="1625"/>
      <c r="C5" s="1625"/>
      <c r="D5" s="1625"/>
      <c r="E5" s="1625"/>
      <c r="F5" s="1625"/>
      <c r="G5" s="1625"/>
      <c r="H5" s="79"/>
    </row>
    <row r="6" spans="1:9" ht="16.5" customHeight="1">
      <c r="A6" s="1496" t="s">
        <v>259</v>
      </c>
      <c r="B6" s="1497"/>
      <c r="C6" s="1497"/>
      <c r="D6" s="1497"/>
      <c r="E6" s="1497"/>
      <c r="F6" s="1497"/>
      <c r="G6" s="1498"/>
      <c r="H6" s="217"/>
    </row>
    <row r="7" spans="1:9" ht="18.75" customHeight="1" thickBot="1">
      <c r="A7" s="1499" t="s">
        <v>389</v>
      </c>
      <c r="B7" s="1500"/>
      <c r="C7" s="1500"/>
      <c r="D7" s="1500"/>
      <c r="E7" s="1500"/>
      <c r="F7" s="1500"/>
      <c r="G7" s="1501"/>
      <c r="H7" s="712"/>
    </row>
    <row r="8" spans="1:9" ht="15" customHeight="1">
      <c r="A8" s="1523" t="s">
        <v>386</v>
      </c>
      <c r="B8" s="1468"/>
      <c r="C8" s="1491" t="s">
        <v>131</v>
      </c>
      <c r="D8" s="1467" t="s">
        <v>340</v>
      </c>
      <c r="E8" s="1467" t="s">
        <v>278</v>
      </c>
      <c r="F8" s="1458" t="s">
        <v>507</v>
      </c>
      <c r="G8" s="1459"/>
      <c r="H8" s="79"/>
    </row>
    <row r="9" spans="1:9" ht="28" customHeight="1">
      <c r="A9" s="1524"/>
      <c r="B9" s="1470"/>
      <c r="C9" s="1492"/>
      <c r="D9" s="1469"/>
      <c r="E9" s="1469"/>
      <c r="F9" s="1460"/>
      <c r="G9" s="1461"/>
    </row>
    <row r="10" spans="1:9" ht="16" thickBot="1">
      <c r="A10" s="1525"/>
      <c r="B10" s="1466"/>
      <c r="C10" s="748">
        <v>40999</v>
      </c>
      <c r="D10" s="714" t="str">
        <f>'Løntabel gældende fra'!$D$1</f>
        <v>01/04/2022</v>
      </c>
      <c r="E10" s="714" t="str">
        <f>'Løntabel gældende fra'!$D$1</f>
        <v>01/04/2022</v>
      </c>
      <c r="F10" s="1464" t="s">
        <v>353</v>
      </c>
      <c r="G10" s="1457"/>
    </row>
    <row r="11" spans="1:9">
      <c r="A11" s="1416">
        <v>1</v>
      </c>
      <c r="B11" s="1417"/>
      <c r="C11" s="929">
        <v>285240</v>
      </c>
      <c r="D11" s="930">
        <f>ROUND(C11*(1+'Løntabel gældende fra'!$D$7/100),2)</f>
        <v>323491.82</v>
      </c>
      <c r="E11" s="930">
        <f>ROUND(D11/12,2)</f>
        <v>26957.65</v>
      </c>
      <c r="F11" s="1482">
        <f>ROUND(E11*0.168,2)</f>
        <v>4528.8900000000003</v>
      </c>
      <c r="G11" s="1151"/>
    </row>
    <row r="12" spans="1:9">
      <c r="A12" s="1418">
        <v>2</v>
      </c>
      <c r="B12" s="1419"/>
      <c r="C12" s="931">
        <v>285240</v>
      </c>
      <c r="D12" s="713">
        <f>ROUND(C12*(1+'Løntabel gældende fra'!$D$7/100),2)</f>
        <v>323491.82</v>
      </c>
      <c r="E12" s="713">
        <f t="shared" ref="E12:E15" si="0">ROUND(D12/12,2)</f>
        <v>26957.65</v>
      </c>
      <c r="F12" s="1483">
        <f t="shared" ref="F12:F15" si="1">ROUND(E12*0.168,2)</f>
        <v>4528.8900000000003</v>
      </c>
      <c r="G12" s="1198"/>
    </row>
    <row r="13" spans="1:9">
      <c r="A13" s="1418">
        <v>3</v>
      </c>
      <c r="B13" s="1419"/>
      <c r="C13" s="931">
        <v>307417</v>
      </c>
      <c r="D13" s="713">
        <f>ROUND(C13*(1+'Løntabel gældende fra'!$D$7/100),2)</f>
        <v>348642.85</v>
      </c>
      <c r="E13" s="713">
        <f t="shared" si="0"/>
        <v>29053.57</v>
      </c>
      <c r="F13" s="1483">
        <f t="shared" si="1"/>
        <v>4881</v>
      </c>
      <c r="G13" s="1198"/>
    </row>
    <row r="14" spans="1:9">
      <c r="A14" s="1418">
        <v>4</v>
      </c>
      <c r="B14" s="1419"/>
      <c r="C14" s="931">
        <v>327643</v>
      </c>
      <c r="D14" s="713">
        <f>ROUND(C14*(1+'Løntabel gældende fra'!$D$7/100),2)</f>
        <v>371581.24</v>
      </c>
      <c r="E14" s="713">
        <f t="shared" si="0"/>
        <v>30965.1</v>
      </c>
      <c r="F14" s="1483">
        <f t="shared" si="1"/>
        <v>5202.1400000000003</v>
      </c>
      <c r="G14" s="1198"/>
    </row>
    <row r="15" spans="1:9" ht="15" thickBot="1">
      <c r="A15" s="1412">
        <v>5</v>
      </c>
      <c r="B15" s="1413"/>
      <c r="C15" s="932">
        <v>347571</v>
      </c>
      <c r="D15" s="933">
        <f>ROUND(C15*(1+'Løntabel gældende fra'!$D$7/100),2)</f>
        <v>394181.66</v>
      </c>
      <c r="E15" s="933">
        <f t="shared" si="0"/>
        <v>32848.47</v>
      </c>
      <c r="F15" s="1484">
        <f t="shared" si="1"/>
        <v>5518.54</v>
      </c>
      <c r="G15" s="1485"/>
    </row>
    <row r="16" spans="1:9">
      <c r="A16" s="1631" t="s">
        <v>417</v>
      </c>
      <c r="B16" s="1631"/>
      <c r="C16" s="1631"/>
      <c r="D16" s="1631"/>
      <c r="E16" s="1631"/>
      <c r="F16" s="1631"/>
      <c r="G16" s="1631"/>
      <c r="H16" s="1631"/>
    </row>
    <row r="17" spans="1:9" ht="15" thickBot="1">
      <c r="I17" s="689"/>
    </row>
    <row r="18" spans="1:9" ht="15" thickBot="1">
      <c r="A18" s="1633" t="s">
        <v>427</v>
      </c>
      <c r="B18" s="1634"/>
      <c r="C18" s="1635"/>
      <c r="D18" s="1633" t="s">
        <v>407</v>
      </c>
      <c r="E18" s="1634"/>
      <c r="F18" s="1635"/>
      <c r="G18" s="687"/>
    </row>
    <row r="19" spans="1:9" ht="15" thickBot="1">
      <c r="A19" s="751" t="s">
        <v>408</v>
      </c>
      <c r="B19" s="1628" t="s">
        <v>96</v>
      </c>
      <c r="C19" s="1629"/>
      <c r="D19" s="751" t="s">
        <v>408</v>
      </c>
      <c r="E19" s="1628" t="s">
        <v>96</v>
      </c>
      <c r="F19" s="1630"/>
      <c r="G19" s="687"/>
    </row>
    <row r="20" spans="1:9" ht="15.75" customHeight="1">
      <c r="A20" s="752">
        <v>2</v>
      </c>
      <c r="B20" s="1626" t="s">
        <v>409</v>
      </c>
      <c r="C20" s="1632"/>
      <c r="D20" s="752">
        <v>1</v>
      </c>
      <c r="E20" s="1626" t="s">
        <v>412</v>
      </c>
      <c r="F20" s="1627"/>
      <c r="G20" s="687"/>
    </row>
    <row r="21" spans="1:9">
      <c r="A21" s="753">
        <v>4</v>
      </c>
      <c r="B21" s="1594" t="s">
        <v>410</v>
      </c>
      <c r="C21" s="1636"/>
      <c r="D21" s="753">
        <v>3</v>
      </c>
      <c r="E21" s="1594" t="s">
        <v>413</v>
      </c>
      <c r="F21" s="1595"/>
      <c r="G21" s="687"/>
    </row>
    <row r="22" spans="1:9" ht="15" thickBot="1">
      <c r="A22" s="754">
        <v>5</v>
      </c>
      <c r="B22" s="1541" t="s">
        <v>411</v>
      </c>
      <c r="C22" s="1596"/>
      <c r="D22" s="754">
        <v>5</v>
      </c>
      <c r="E22" s="1541" t="s">
        <v>414</v>
      </c>
      <c r="F22" s="1542"/>
      <c r="G22" s="687"/>
    </row>
    <row r="23" spans="1:9" ht="14" customHeight="1" thickBot="1">
      <c r="A23" s="686"/>
      <c r="B23" s="686"/>
      <c r="C23" s="687"/>
      <c r="D23" s="687"/>
      <c r="E23" s="688"/>
      <c r="F23" s="666"/>
      <c r="G23" s="666"/>
    </row>
    <row r="24" spans="1:9" ht="22.5" customHeight="1">
      <c r="A24" s="1496" t="s">
        <v>385</v>
      </c>
      <c r="B24" s="1497"/>
      <c r="C24" s="1497"/>
      <c r="D24" s="1497"/>
      <c r="E24" s="1497"/>
      <c r="F24" s="1497"/>
      <c r="G24" s="1498"/>
    </row>
    <row r="25" spans="1:9" ht="20.25" customHeight="1" thickBot="1">
      <c r="A25" s="1499" t="s">
        <v>389</v>
      </c>
      <c r="B25" s="1500"/>
      <c r="C25" s="1500"/>
      <c r="D25" s="1500"/>
      <c r="E25" s="1500"/>
      <c r="F25" s="1500"/>
      <c r="G25" s="1501"/>
    </row>
    <row r="26" spans="1:9" ht="15.75" customHeight="1">
      <c r="A26" s="1523" t="s">
        <v>94</v>
      </c>
      <c r="B26" s="1468"/>
      <c r="C26" s="1491" t="s">
        <v>131</v>
      </c>
      <c r="D26" s="1467" t="s">
        <v>340</v>
      </c>
      <c r="E26" s="1467" t="s">
        <v>278</v>
      </c>
      <c r="F26" s="1458" t="str">
        <f>F8</f>
        <v>Pensionsbidrag til AkedemikerPension</v>
      </c>
      <c r="G26" s="1459"/>
    </row>
    <row r="27" spans="1:9" ht="15" customHeight="1">
      <c r="A27" s="1524"/>
      <c r="B27" s="1470"/>
      <c r="C27" s="1492"/>
      <c r="D27" s="1469"/>
      <c r="E27" s="1469"/>
      <c r="F27" s="1460"/>
      <c r="G27" s="1461"/>
    </row>
    <row r="28" spans="1:9" ht="16" thickBot="1">
      <c r="A28" s="1456"/>
      <c r="B28" s="1457"/>
      <c r="C28" s="748">
        <v>40999</v>
      </c>
      <c r="D28" s="714" t="str">
        <f>'Løntabel gældende fra'!$D$1</f>
        <v>01/04/2022</v>
      </c>
      <c r="E28" s="714" t="str">
        <f>'Løntabel gældende fra'!$D$1</f>
        <v>01/04/2022</v>
      </c>
      <c r="F28" s="1462">
        <v>0.16800000000000001</v>
      </c>
      <c r="G28" s="1463"/>
    </row>
    <row r="29" spans="1:9">
      <c r="A29" s="1543" t="s">
        <v>384</v>
      </c>
      <c r="B29" s="1544"/>
      <c r="C29" s="934">
        <v>38000</v>
      </c>
      <c r="D29" s="935">
        <f>ROUND(C29*(1+'Løntabel gældende fra'!$D$7/100),2)</f>
        <v>43095.95</v>
      </c>
      <c r="E29" s="935">
        <f>ROUND(D29/12,2)</f>
        <v>3591.33</v>
      </c>
      <c r="F29" s="1512">
        <f>ROUND(E29*0.168,2)</f>
        <v>603.34</v>
      </c>
      <c r="G29" s="1513"/>
    </row>
    <row r="30" spans="1:9" ht="14.25" customHeight="1">
      <c r="A30" s="1418" t="s">
        <v>383</v>
      </c>
      <c r="B30" s="1419"/>
      <c r="C30" s="936">
        <v>38000</v>
      </c>
      <c r="D30" s="717">
        <f>ROUND(C30*(1+'Løntabel gældende fra'!$D$7/100),2)</f>
        <v>43095.95</v>
      </c>
      <c r="E30" s="717">
        <f t="shared" ref="E30:E35" si="2">ROUND(D30/12,2)</f>
        <v>3591.33</v>
      </c>
      <c r="F30" s="1514">
        <f t="shared" ref="F30:F35" si="3">ROUND(E30*0.168,2)</f>
        <v>603.34</v>
      </c>
      <c r="G30" s="1515"/>
    </row>
    <row r="31" spans="1:9">
      <c r="A31" s="1418" t="s">
        <v>382</v>
      </c>
      <c r="B31" s="1419"/>
      <c r="C31" s="936">
        <v>50000</v>
      </c>
      <c r="D31" s="717">
        <f>ROUND(C31*(1+'Løntabel gældende fra'!$D$7/100),2)</f>
        <v>56705.2</v>
      </c>
      <c r="E31" s="717">
        <f t="shared" si="2"/>
        <v>4725.43</v>
      </c>
      <c r="F31" s="1514">
        <f t="shared" si="3"/>
        <v>793.87</v>
      </c>
      <c r="G31" s="1515"/>
    </row>
    <row r="32" spans="1:9">
      <c r="A32" s="1418" t="s">
        <v>381</v>
      </c>
      <c r="B32" s="1419"/>
      <c r="C32" s="936">
        <v>50000</v>
      </c>
      <c r="D32" s="717">
        <f>ROUND(C32*(1+'Løntabel gældende fra'!$D$7/100),2)</f>
        <v>56705.2</v>
      </c>
      <c r="E32" s="717">
        <f t="shared" si="2"/>
        <v>4725.43</v>
      </c>
      <c r="F32" s="1514">
        <f t="shared" si="3"/>
        <v>793.87</v>
      </c>
      <c r="G32" s="1515"/>
    </row>
    <row r="33" spans="1:7" ht="15" customHeight="1">
      <c r="A33" s="1394" t="s">
        <v>380</v>
      </c>
      <c r="B33" s="1395"/>
      <c r="C33" s="936">
        <v>50000</v>
      </c>
      <c r="D33" s="717">
        <f>ROUND(C33*(1+'Løntabel gældende fra'!$D$7/100),2)</f>
        <v>56705.2</v>
      </c>
      <c r="E33" s="717">
        <f t="shared" si="2"/>
        <v>4725.43</v>
      </c>
      <c r="F33" s="1514">
        <f t="shared" si="3"/>
        <v>793.87</v>
      </c>
      <c r="G33" s="1515"/>
    </row>
    <row r="34" spans="1:7" ht="15.75" customHeight="1">
      <c r="A34" s="1418" t="s">
        <v>406</v>
      </c>
      <c r="B34" s="1419"/>
      <c r="C34" s="936">
        <v>50000</v>
      </c>
      <c r="D34" s="717">
        <f>ROUND(C34*(1+'Løntabel gældende fra'!$D$7/100),2)</f>
        <v>56705.2</v>
      </c>
      <c r="E34" s="717">
        <f t="shared" si="2"/>
        <v>4725.43</v>
      </c>
      <c r="F34" s="1514">
        <f t="shared" si="3"/>
        <v>793.87</v>
      </c>
      <c r="G34" s="1515"/>
    </row>
    <row r="35" spans="1:7" ht="15.75" customHeight="1" thickBot="1">
      <c r="A35" s="1525" t="s">
        <v>379</v>
      </c>
      <c r="B35" s="1466"/>
      <c r="C35" s="937">
        <v>72500</v>
      </c>
      <c r="D35" s="938">
        <f>ROUND(C35*(1+'Løntabel gældende fra'!$D$7/100),2)</f>
        <v>82222.539999999994</v>
      </c>
      <c r="E35" s="938">
        <f t="shared" si="2"/>
        <v>6851.88</v>
      </c>
      <c r="F35" s="1516">
        <f t="shared" si="3"/>
        <v>1151.1199999999999</v>
      </c>
      <c r="G35" s="1517"/>
    </row>
    <row r="36" spans="1:7" ht="15.75" customHeight="1" thickBot="1">
      <c r="A36" s="685"/>
      <c r="B36" s="685"/>
      <c r="C36" s="685"/>
      <c r="D36" s="685"/>
      <c r="E36" s="685"/>
      <c r="F36" s="685"/>
      <c r="G36" s="685"/>
    </row>
    <row r="37" spans="1:7" ht="19.5" customHeight="1">
      <c r="A37" s="1154" t="s">
        <v>391</v>
      </c>
      <c r="B37" s="1292"/>
      <c r="C37" s="1292"/>
      <c r="D37" s="1292"/>
      <c r="E37" s="1292"/>
      <c r="F37" s="1292"/>
      <c r="G37" s="1293"/>
    </row>
    <row r="38" spans="1:7" ht="14" customHeight="1">
      <c r="A38" s="1506" t="s">
        <v>390</v>
      </c>
      <c r="B38" s="1507"/>
      <c r="C38" s="1507"/>
      <c r="D38" s="1507"/>
      <c r="E38" s="1507"/>
      <c r="F38" s="1507"/>
      <c r="G38" s="1508"/>
    </row>
    <row r="39" spans="1:7" ht="18" customHeight="1" thickBot="1">
      <c r="A39" s="1509"/>
      <c r="B39" s="1510"/>
      <c r="C39" s="1510"/>
      <c r="D39" s="1510"/>
      <c r="E39" s="1510"/>
      <c r="F39" s="1510"/>
      <c r="G39" s="1511"/>
    </row>
    <row r="40" spans="1:7" ht="19.5" customHeight="1" thickBot="1">
      <c r="A40" s="1503" t="s">
        <v>378</v>
      </c>
      <c r="B40" s="1504"/>
      <c r="C40" s="1504"/>
      <c r="D40" s="1504"/>
      <c r="E40" s="1504"/>
      <c r="F40" s="1504"/>
      <c r="G40" s="1505"/>
    </row>
    <row r="41" spans="1:7">
      <c r="A41" s="1530" t="s">
        <v>376</v>
      </c>
      <c r="B41" s="1531"/>
      <c r="C41" s="1531"/>
      <c r="D41" s="1459"/>
      <c r="E41" s="1491" t="s">
        <v>131</v>
      </c>
      <c r="F41" s="1467" t="s">
        <v>340</v>
      </c>
      <c r="G41" s="1468" t="s">
        <v>278</v>
      </c>
    </row>
    <row r="42" spans="1:7">
      <c r="A42" s="1532"/>
      <c r="B42" s="1533"/>
      <c r="C42" s="1533"/>
      <c r="D42" s="1534"/>
      <c r="E42" s="1492"/>
      <c r="F42" s="1469"/>
      <c r="G42" s="1470"/>
    </row>
    <row r="43" spans="1:7" ht="16" thickBot="1">
      <c r="A43" s="1535"/>
      <c r="B43" s="1536"/>
      <c r="C43" s="1536"/>
      <c r="D43" s="1537"/>
      <c r="E43" s="748">
        <v>40999</v>
      </c>
      <c r="F43" s="719" t="str">
        <f>'Løntabel gældende fra'!$D$1</f>
        <v>01/04/2022</v>
      </c>
      <c r="G43" s="783" t="str">
        <f>F43</f>
        <v>01/04/2022</v>
      </c>
    </row>
    <row r="44" spans="1:7">
      <c r="A44" s="1538">
        <v>-200</v>
      </c>
      <c r="B44" s="1539"/>
      <c r="C44" s="1539"/>
      <c r="D44" s="1540"/>
      <c r="E44" s="715">
        <v>18200</v>
      </c>
      <c r="F44" s="713">
        <f>ROUND(E44*(1+'Løntabel gældende fra'!$D$7/100),2)</f>
        <v>20640.689999999999</v>
      </c>
      <c r="G44" s="402">
        <f>ROUND(F44/12,2)</f>
        <v>1720.06</v>
      </c>
    </row>
    <row r="45" spans="1:7">
      <c r="A45" s="1567" t="s">
        <v>375</v>
      </c>
      <c r="B45" s="1568"/>
      <c r="C45" s="1568"/>
      <c r="D45" s="1569"/>
      <c r="E45" s="682">
        <v>33300</v>
      </c>
      <c r="F45" s="713">
        <f>ROUND(E45*(1+'Løntabel gældende fra'!$D$7/100),2)</f>
        <v>37765.660000000003</v>
      </c>
      <c r="G45" s="402">
        <f t="shared" ref="G45:G48" si="4">ROUND(F45/12,2)</f>
        <v>3147.14</v>
      </c>
    </row>
    <row r="46" spans="1:7">
      <c r="A46" s="1567" t="s">
        <v>374</v>
      </c>
      <c r="B46" s="1568"/>
      <c r="C46" s="1568"/>
      <c r="D46" s="1569"/>
      <c r="E46" s="682">
        <v>44000</v>
      </c>
      <c r="F46" s="713">
        <f>ROUND(E46*(1+'Løntabel gældende fra'!$D$7/100),2)</f>
        <v>49900.58</v>
      </c>
      <c r="G46" s="402">
        <f t="shared" si="4"/>
        <v>4158.38</v>
      </c>
    </row>
    <row r="47" spans="1:7" ht="14" customHeight="1">
      <c r="A47" s="1567" t="s">
        <v>373</v>
      </c>
      <c r="B47" s="1568"/>
      <c r="C47" s="1568"/>
      <c r="D47" s="1569"/>
      <c r="E47" s="682">
        <v>54700</v>
      </c>
      <c r="F47" s="713">
        <f>ROUND(E47*(1+'Løntabel gældende fra'!$D$7/100),2)</f>
        <v>62035.49</v>
      </c>
      <c r="G47" s="402">
        <f t="shared" si="4"/>
        <v>5169.62</v>
      </c>
    </row>
    <row r="48" spans="1:7" ht="15" thickBot="1">
      <c r="A48" s="1585" t="s">
        <v>372</v>
      </c>
      <c r="B48" s="1586"/>
      <c r="C48" s="1586"/>
      <c r="D48" s="1587"/>
      <c r="E48" s="684">
        <v>60700</v>
      </c>
      <c r="F48" s="713">
        <f>ROUND(E48*(1+'Løntabel gældende fra'!$D$7/100),2)</f>
        <v>68840.11</v>
      </c>
      <c r="G48" s="402">
        <f t="shared" si="4"/>
        <v>5736.68</v>
      </c>
    </row>
    <row r="49" spans="1:10" ht="22.5" customHeight="1" thickBot="1">
      <c r="A49" s="1503" t="s">
        <v>377</v>
      </c>
      <c r="B49" s="1504"/>
      <c r="C49" s="1504"/>
      <c r="D49" s="1504"/>
      <c r="E49" s="1504"/>
      <c r="F49" s="1504"/>
      <c r="G49" s="1505"/>
    </row>
    <row r="50" spans="1:10">
      <c r="A50" s="1530" t="s">
        <v>376</v>
      </c>
      <c r="B50" s="1531"/>
      <c r="C50" s="1531"/>
      <c r="D50" s="1459"/>
      <c r="E50" s="1579" t="s">
        <v>131</v>
      </c>
      <c r="F50" s="1581" t="s">
        <v>340</v>
      </c>
      <c r="G50" s="1583" t="s">
        <v>278</v>
      </c>
    </row>
    <row r="51" spans="1:10">
      <c r="A51" s="1532"/>
      <c r="B51" s="1533"/>
      <c r="C51" s="1533"/>
      <c r="D51" s="1534"/>
      <c r="E51" s="1580"/>
      <c r="F51" s="1582"/>
      <c r="G51" s="1584"/>
    </row>
    <row r="52" spans="1:10" ht="16" thickBot="1">
      <c r="A52" s="1535"/>
      <c r="B52" s="1536"/>
      <c r="C52" s="1536"/>
      <c r="D52" s="1537"/>
      <c r="E52" s="748">
        <v>40999</v>
      </c>
      <c r="F52" s="719" t="str">
        <f>'Løntabel gældende fra'!$D$1</f>
        <v>01/04/2022</v>
      </c>
      <c r="G52" s="783" t="str">
        <f>F52</f>
        <v>01/04/2022</v>
      </c>
      <c r="J52" s="666"/>
    </row>
    <row r="53" spans="1:10">
      <c r="A53" s="1538">
        <v>-200</v>
      </c>
      <c r="B53" s="1539"/>
      <c r="C53" s="1539"/>
      <c r="D53" s="1540"/>
      <c r="E53" s="715">
        <v>12500</v>
      </c>
      <c r="F53" s="713">
        <f>ROUND(E53*(1+'Løntabel gældende fra'!$D$7/100),2)</f>
        <v>14176.3</v>
      </c>
      <c r="G53" s="402">
        <f>ROUND(F53/12,2)</f>
        <v>1181.3599999999999</v>
      </c>
      <c r="J53" s="668"/>
    </row>
    <row r="54" spans="1:10" ht="14" customHeight="1">
      <c r="A54" s="1567" t="s">
        <v>375</v>
      </c>
      <c r="B54" s="1568"/>
      <c r="C54" s="1568"/>
      <c r="D54" s="1569"/>
      <c r="E54" s="682">
        <v>13600</v>
      </c>
      <c r="F54" s="713">
        <f>ROUND(E54*(1+'Løntabel gældende fra'!$D$7/100),2)</f>
        <v>15423.81</v>
      </c>
      <c r="G54" s="402">
        <f t="shared" ref="G54:G57" si="5">ROUND(F54/12,2)</f>
        <v>1285.32</v>
      </c>
    </row>
    <row r="55" spans="1:10" ht="15" customHeight="1">
      <c r="A55" s="1567" t="s">
        <v>374</v>
      </c>
      <c r="B55" s="1568"/>
      <c r="C55" s="1568"/>
      <c r="D55" s="1569"/>
      <c r="E55" s="682">
        <v>18200</v>
      </c>
      <c r="F55" s="713">
        <f>ROUND(E55*(1+'Løntabel gældende fra'!$D$7/100),2)</f>
        <v>20640.689999999999</v>
      </c>
      <c r="G55" s="402">
        <f t="shared" si="5"/>
        <v>1720.06</v>
      </c>
    </row>
    <row r="56" spans="1:10" ht="15" customHeight="1">
      <c r="A56" s="1567" t="s">
        <v>373</v>
      </c>
      <c r="B56" s="1568"/>
      <c r="C56" s="1568"/>
      <c r="D56" s="1569"/>
      <c r="E56" s="682">
        <v>25200</v>
      </c>
      <c r="F56" s="713">
        <f>ROUND(E56*(1+'Løntabel gældende fra'!$D$7/100),2)</f>
        <v>28579.42</v>
      </c>
      <c r="G56" s="402">
        <f t="shared" si="5"/>
        <v>2381.62</v>
      </c>
    </row>
    <row r="57" spans="1:10" ht="16.5" customHeight="1" thickBot="1">
      <c r="A57" s="1585" t="s">
        <v>372</v>
      </c>
      <c r="B57" s="1586"/>
      <c r="C57" s="1586"/>
      <c r="D57" s="1587"/>
      <c r="E57" s="684">
        <v>28000</v>
      </c>
      <c r="F57" s="713">
        <f>ROUND(E57*(1+'Løntabel gældende fra'!$D$7/100),2)</f>
        <v>31754.91</v>
      </c>
      <c r="G57" s="402">
        <f t="shared" si="5"/>
        <v>2646.24</v>
      </c>
    </row>
    <row r="58" spans="1:10" ht="15.75" customHeight="1" thickBot="1">
      <c r="A58" s="670"/>
      <c r="B58" s="670"/>
      <c r="C58" s="670"/>
      <c r="D58" s="670"/>
      <c r="E58" s="670"/>
      <c r="F58" s="670"/>
      <c r="G58" s="670"/>
    </row>
    <row r="59" spans="1:10" ht="17.25" customHeight="1">
      <c r="A59" s="1309" t="s">
        <v>371</v>
      </c>
      <c r="B59" s="1310"/>
      <c r="C59" s="1310"/>
      <c r="D59" s="1310"/>
      <c r="E59" s="1310"/>
      <c r="F59" s="1310"/>
      <c r="G59" s="1311"/>
    </row>
    <row r="60" spans="1:10" ht="17.25" customHeight="1" thickBot="1">
      <c r="A60" s="1323" t="s">
        <v>392</v>
      </c>
      <c r="B60" s="1324"/>
      <c r="C60" s="1324"/>
      <c r="D60" s="1324"/>
      <c r="E60" s="1324"/>
      <c r="F60" s="1324"/>
      <c r="G60" s="1325"/>
    </row>
    <row r="61" spans="1:10" ht="28" customHeight="1">
      <c r="A61" s="1523" t="s">
        <v>405</v>
      </c>
      <c r="B61" s="1467"/>
      <c r="C61" s="1468" t="s">
        <v>370</v>
      </c>
      <c r="D61" s="1491" t="s">
        <v>131</v>
      </c>
      <c r="E61" s="1467" t="s">
        <v>340</v>
      </c>
      <c r="F61" s="1486" t="s">
        <v>278</v>
      </c>
      <c r="G61" s="1521" t="s">
        <v>508</v>
      </c>
    </row>
    <row r="62" spans="1:10" ht="17.25" customHeight="1">
      <c r="A62" s="1524"/>
      <c r="B62" s="1469"/>
      <c r="C62" s="1470"/>
      <c r="D62" s="1492"/>
      <c r="E62" s="1469"/>
      <c r="F62" s="1487"/>
      <c r="G62" s="1522"/>
    </row>
    <row r="63" spans="1:10" ht="14" customHeight="1" thickBot="1">
      <c r="A63" s="1525"/>
      <c r="B63" s="1465"/>
      <c r="C63" s="1466"/>
      <c r="D63" s="747">
        <v>40999</v>
      </c>
      <c r="E63" s="719" t="str">
        <f>'Løntabel gældende fra'!$D$1</f>
        <v>01/04/2022</v>
      </c>
      <c r="F63" s="719" t="str">
        <f>E63</f>
        <v>01/04/2022</v>
      </c>
      <c r="G63" s="720">
        <v>0.16800000000000001</v>
      </c>
      <c r="H63" s="666"/>
    </row>
    <row r="64" spans="1:10" ht="14" customHeight="1">
      <c r="A64" s="1597" t="s">
        <v>369</v>
      </c>
      <c r="B64" s="1598"/>
      <c r="C64" s="722" t="s">
        <v>368</v>
      </c>
      <c r="D64" s="721">
        <v>4300</v>
      </c>
      <c r="E64" s="717">
        <f>ROUND(D64*(1+'Løntabel gældende fra'!$D$7/100),2)</f>
        <v>4876.6499999999996</v>
      </c>
      <c r="F64" s="717">
        <f>ROUND(E64/12,2)</f>
        <v>406.39</v>
      </c>
      <c r="G64" s="718">
        <f>ROUND(F64*0.168,2)</f>
        <v>68.27</v>
      </c>
    </row>
    <row r="65" spans="1:9" ht="14.5" customHeight="1">
      <c r="A65" s="1211" t="s">
        <v>365</v>
      </c>
      <c r="B65" s="1593"/>
      <c r="C65" s="723" t="s">
        <v>367</v>
      </c>
      <c r="D65" s="716">
        <v>6900</v>
      </c>
      <c r="E65" s="717">
        <f>ROUND(D65*(1+'Løntabel gældende fra'!$D$7/100),2)</f>
        <v>7825.32</v>
      </c>
      <c r="F65" s="717">
        <f t="shared" ref="F65:F69" si="6">ROUND(E65/12,2)</f>
        <v>652.11</v>
      </c>
      <c r="G65" s="718">
        <f t="shared" ref="G65:G69" si="7">ROUND(F65*0.168,2)</f>
        <v>109.55</v>
      </c>
    </row>
    <row r="66" spans="1:9" ht="14" customHeight="1">
      <c r="A66" s="1211" t="s">
        <v>365</v>
      </c>
      <c r="B66" s="1593"/>
      <c r="C66" s="723" t="s">
        <v>366</v>
      </c>
      <c r="D66" s="682">
        <v>12600</v>
      </c>
      <c r="E66" s="717">
        <f>ROUND(D66*(1+'Løntabel gældende fra'!$D$7/100),2)</f>
        <v>14289.71</v>
      </c>
      <c r="F66" s="717">
        <f t="shared" si="6"/>
        <v>1190.81</v>
      </c>
      <c r="G66" s="718">
        <f t="shared" si="7"/>
        <v>200.06</v>
      </c>
    </row>
    <row r="67" spans="1:9" ht="15.75" customHeight="1">
      <c r="A67" s="1211" t="s">
        <v>365</v>
      </c>
      <c r="B67" s="1593"/>
      <c r="C67" s="723" t="s">
        <v>364</v>
      </c>
      <c r="D67" s="682">
        <v>19500</v>
      </c>
      <c r="E67" s="717">
        <f>ROUND(D67*(1+'Løntabel gældende fra'!$D$7/100),2)</f>
        <v>22115.03</v>
      </c>
      <c r="F67" s="717">
        <f t="shared" si="6"/>
        <v>1842.92</v>
      </c>
      <c r="G67" s="718">
        <f t="shared" si="7"/>
        <v>309.61</v>
      </c>
    </row>
    <row r="68" spans="1:9" ht="32.25" customHeight="1">
      <c r="A68" s="1211" t="s">
        <v>362</v>
      </c>
      <c r="B68" s="1593"/>
      <c r="C68" s="724" t="s">
        <v>363</v>
      </c>
      <c r="D68" s="716">
        <v>19500</v>
      </c>
      <c r="E68" s="717">
        <f>ROUND(D68*(1+'Løntabel gældende fra'!$D$7/100),2)</f>
        <v>22115.03</v>
      </c>
      <c r="F68" s="717">
        <f t="shared" si="6"/>
        <v>1842.92</v>
      </c>
      <c r="G68" s="718">
        <f t="shared" si="7"/>
        <v>309.61</v>
      </c>
    </row>
    <row r="69" spans="1:9" ht="29.25" customHeight="1" thickBot="1">
      <c r="A69" s="1618" t="s">
        <v>362</v>
      </c>
      <c r="B69" s="1619"/>
      <c r="C69" s="725" t="s">
        <v>416</v>
      </c>
      <c r="D69" s="683">
        <v>39000</v>
      </c>
      <c r="E69" s="717">
        <f>ROUND(D69*(1+'Løntabel gældende fra'!$D$7/100),2)</f>
        <v>44230.06</v>
      </c>
      <c r="F69" s="717">
        <f t="shared" si="6"/>
        <v>3685.84</v>
      </c>
      <c r="G69" s="718">
        <f t="shared" si="7"/>
        <v>619.22</v>
      </c>
    </row>
    <row r="70" spans="1:9" ht="14" customHeight="1" thickBot="1">
      <c r="A70" s="671"/>
      <c r="B70" s="671"/>
      <c r="C70" s="671"/>
      <c r="D70" s="671"/>
      <c r="E70" s="671"/>
      <c r="F70" s="671"/>
      <c r="G70" s="671"/>
      <c r="H70" s="666"/>
      <c r="I70" s="666"/>
    </row>
    <row r="71" spans="1:9" ht="16.5" customHeight="1">
      <c r="A71" s="1309" t="s">
        <v>361</v>
      </c>
      <c r="B71" s="1310"/>
      <c r="C71" s="1310"/>
      <c r="D71" s="1310"/>
      <c r="E71" s="1310"/>
      <c r="F71" s="1310"/>
      <c r="G71" s="1311"/>
    </row>
    <row r="72" spans="1:9" ht="16" customHeight="1" thickBot="1">
      <c r="A72" s="1570" t="s">
        <v>393</v>
      </c>
      <c r="B72" s="1571"/>
      <c r="C72" s="1571"/>
      <c r="D72" s="1571"/>
      <c r="E72" s="1571"/>
      <c r="F72" s="1571"/>
      <c r="G72" s="1572"/>
    </row>
    <row r="73" spans="1:9" ht="16.5" customHeight="1">
      <c r="A73" s="1530" t="s">
        <v>131</v>
      </c>
      <c r="B73" s="1573"/>
      <c r="C73" s="1458" t="s">
        <v>340</v>
      </c>
      <c r="D73" s="1573"/>
      <c r="E73" s="1467" t="str">
        <f>F8</f>
        <v>Pensionsbidrag til AkedemikerPension</v>
      </c>
      <c r="F73" s="1467"/>
      <c r="G73" s="1468"/>
    </row>
    <row r="74" spans="1:9" ht="15" customHeight="1">
      <c r="A74" s="1574"/>
      <c r="B74" s="1575"/>
      <c r="C74" s="1460"/>
      <c r="D74" s="1575"/>
      <c r="E74" s="1469"/>
      <c r="F74" s="1469"/>
      <c r="G74" s="1470"/>
    </row>
    <row r="75" spans="1:9" ht="15" thickBot="1">
      <c r="A75" s="1526">
        <v>40999</v>
      </c>
      <c r="B75" s="1527"/>
      <c r="C75" s="1528" t="str">
        <f>'Løntabel gældende fra'!$D$1</f>
        <v>01/04/2022</v>
      </c>
      <c r="D75" s="1529"/>
      <c r="E75" s="1465" t="s">
        <v>353</v>
      </c>
      <c r="F75" s="1465"/>
      <c r="G75" s="1466"/>
    </row>
    <row r="76" spans="1:9" ht="21.75" customHeight="1" thickBot="1">
      <c r="A76" s="1488">
        <v>21900</v>
      </c>
      <c r="B76" s="1489"/>
      <c r="C76" s="1490">
        <f>ROUND(A76*(1+'Løntabel gældende fra'!$D$7/100),2)</f>
        <v>24836.880000000001</v>
      </c>
      <c r="D76" s="1489"/>
      <c r="E76" s="1484">
        <f>ROUND(C76*0.168,2)</f>
        <v>4172.6000000000004</v>
      </c>
      <c r="F76" s="1484"/>
      <c r="G76" s="1485"/>
    </row>
    <row r="77" spans="1:9" ht="16.5" customHeight="1">
      <c r="A77" s="7" t="s">
        <v>360</v>
      </c>
      <c r="B77" s="669"/>
      <c r="C77" s="669"/>
      <c r="D77" s="669"/>
      <c r="E77" s="669"/>
      <c r="F77" s="669"/>
      <c r="G77" s="669"/>
    </row>
    <row r="78" spans="1:9" ht="21" customHeight="1" thickBot="1">
      <c r="A78" s="14"/>
      <c r="B78" s="14"/>
      <c r="C78" s="14"/>
      <c r="D78" s="14"/>
      <c r="E78" s="14"/>
      <c r="F78" s="14"/>
      <c r="G78" s="14"/>
    </row>
    <row r="79" spans="1:9" ht="19.5" customHeight="1">
      <c r="A79" s="1655" t="s">
        <v>359</v>
      </c>
      <c r="B79" s="1656"/>
      <c r="C79" s="1656"/>
      <c r="D79" s="1656"/>
      <c r="E79" s="1656"/>
      <c r="F79" s="1656"/>
      <c r="G79" s="1657"/>
    </row>
    <row r="80" spans="1:9" ht="20.25" customHeight="1" thickBot="1">
      <c r="A80" s="1570" t="s">
        <v>394</v>
      </c>
      <c r="B80" s="1571"/>
      <c r="C80" s="1571"/>
      <c r="D80" s="1571"/>
      <c r="E80" s="1571"/>
      <c r="F80" s="1571"/>
      <c r="G80" s="1572"/>
    </row>
    <row r="81" spans="1:10" ht="12.75" customHeight="1">
      <c r="A81" s="1658" t="s">
        <v>131</v>
      </c>
      <c r="B81" s="1659"/>
      <c r="C81" s="1659"/>
      <c r="D81" s="1660"/>
      <c r="E81" s="1668" t="s">
        <v>340</v>
      </c>
      <c r="F81" s="1669"/>
      <c r="G81" s="1670"/>
    </row>
    <row r="82" spans="1:10" ht="11.25" customHeight="1">
      <c r="A82" s="1661"/>
      <c r="B82" s="1662"/>
      <c r="C82" s="1662"/>
      <c r="D82" s="1663"/>
      <c r="E82" s="1671"/>
      <c r="F82" s="1672"/>
      <c r="G82" s="1673"/>
    </row>
    <row r="83" spans="1:10" ht="12.75" customHeight="1" thickBot="1">
      <c r="A83" s="1664">
        <v>40999</v>
      </c>
      <c r="B83" s="1665"/>
      <c r="C83" s="1665"/>
      <c r="D83" s="1666"/>
      <c r="E83" s="1674" t="str">
        <f>'Løntabel gældende fra'!$D$1</f>
        <v>01/04/2022</v>
      </c>
      <c r="F83" s="1675"/>
      <c r="G83" s="1676"/>
      <c r="J83" s="667"/>
    </row>
    <row r="84" spans="1:10" ht="17.25" customHeight="1" thickBot="1">
      <c r="A84" s="1488">
        <v>8800</v>
      </c>
      <c r="B84" s="1667"/>
      <c r="C84" s="1667"/>
      <c r="D84" s="1489"/>
      <c r="E84" s="1490">
        <f>ROUND(A84*(1+'Løntabel gældende fra'!$D$7/100),2)</f>
        <v>9980.1200000000008</v>
      </c>
      <c r="F84" s="1667"/>
      <c r="G84" s="1677"/>
      <c r="J84" s="666"/>
    </row>
    <row r="85" spans="1:10" s="27" customFormat="1" ht="17.25" customHeight="1" thickBot="1">
      <c r="A85" s="234"/>
      <c r="B85" s="234"/>
      <c r="C85" s="234"/>
      <c r="D85" s="234"/>
      <c r="E85" s="234"/>
      <c r="F85" s="234"/>
      <c r="G85" s="234"/>
      <c r="J85" s="666"/>
    </row>
    <row r="86" spans="1:10" ht="21" customHeight="1" thickBot="1">
      <c r="A86" s="1599" t="s">
        <v>395</v>
      </c>
      <c r="B86" s="1600"/>
      <c r="C86" s="1600"/>
      <c r="D86" s="1600"/>
      <c r="E86" s="1600"/>
      <c r="F86" s="1600"/>
      <c r="G86" s="1601"/>
      <c r="J86" s="666"/>
    </row>
    <row r="87" spans="1:10" s="27" customFormat="1" ht="12.75" customHeight="1" thickBot="1">
      <c r="A87" s="679"/>
      <c r="B87" s="679"/>
      <c r="C87" s="679"/>
      <c r="D87" s="679"/>
      <c r="E87" s="679"/>
      <c r="F87" s="679"/>
      <c r="G87" s="679"/>
    </row>
    <row r="88" spans="1:10" ht="17.25" customHeight="1">
      <c r="A88" s="1602" t="s">
        <v>350</v>
      </c>
      <c r="B88" s="1603"/>
      <c r="C88" s="1603"/>
      <c r="D88" s="1603"/>
      <c r="E88" s="1603"/>
      <c r="F88" s="1603"/>
      <c r="G88" s="1604"/>
      <c r="H88" s="27"/>
    </row>
    <row r="89" spans="1:10" ht="17.25" customHeight="1">
      <c r="A89" s="1576" t="s">
        <v>415</v>
      </c>
      <c r="B89" s="1577"/>
      <c r="C89" s="1577"/>
      <c r="D89" s="1577"/>
      <c r="E89" s="1577"/>
      <c r="F89" s="1577"/>
      <c r="G89" s="1578"/>
      <c r="H89" s="27"/>
    </row>
    <row r="90" spans="1:10" ht="45" customHeight="1" thickBot="1">
      <c r="A90" s="1560" t="s">
        <v>483</v>
      </c>
      <c r="B90" s="1561"/>
      <c r="C90" s="1561"/>
      <c r="D90" s="1561"/>
      <c r="E90" s="1562"/>
      <c r="F90" s="1562"/>
      <c r="G90" s="1563"/>
      <c r="H90" s="27"/>
    </row>
    <row r="91" spans="1:10" ht="15" customHeight="1">
      <c r="A91" s="1564" t="s">
        <v>57</v>
      </c>
      <c r="B91" s="1591" t="s">
        <v>131</v>
      </c>
      <c r="C91" s="1475" t="s">
        <v>340</v>
      </c>
      <c r="D91" s="1681" t="s">
        <v>399</v>
      </c>
      <c r="E91" s="1474" t="s">
        <v>93</v>
      </c>
      <c r="F91" s="1475"/>
      <c r="G91" s="1476"/>
      <c r="H91" s="700"/>
      <c r="I91" s="700"/>
    </row>
    <row r="92" spans="1:10" ht="14" customHeight="1">
      <c r="A92" s="1565"/>
      <c r="B92" s="1592"/>
      <c r="C92" s="1478"/>
      <c r="D92" s="1682"/>
      <c r="E92" s="1477"/>
      <c r="F92" s="1478"/>
      <c r="G92" s="1479"/>
    </row>
    <row r="93" spans="1:10" ht="15.75" customHeight="1" thickBot="1">
      <c r="A93" s="1566"/>
      <c r="B93" s="731">
        <v>40999</v>
      </c>
      <c r="C93" s="732" t="str">
        <f>'Løntabel gældende fra'!$D$1</f>
        <v>01/04/2022</v>
      </c>
      <c r="D93" s="784" t="str">
        <f>C93</f>
        <v>01/04/2022</v>
      </c>
      <c r="E93" s="1471" t="s">
        <v>349</v>
      </c>
      <c r="F93" s="1472"/>
      <c r="G93" s="1473"/>
    </row>
    <row r="94" spans="1:10" ht="17.25" customHeight="1" thickBot="1">
      <c r="A94" s="727">
        <v>50</v>
      </c>
      <c r="B94" s="726">
        <v>521094</v>
      </c>
      <c r="C94" s="728">
        <f>B94*(1+'Løntabel gældende fra'!$D$7/100)</f>
        <v>590974.78977599996</v>
      </c>
      <c r="D94" s="729">
        <f>ROUND(C94/12,2)</f>
        <v>49247.9</v>
      </c>
      <c r="E94" s="1518">
        <f>ROUND(D94*0.171,2)</f>
        <v>8421.39</v>
      </c>
      <c r="F94" s="1519"/>
      <c r="G94" s="1520"/>
    </row>
    <row r="95" spans="1:10" ht="20.25" customHeight="1">
      <c r="A95" s="1547" t="s">
        <v>426</v>
      </c>
      <c r="B95" s="1547"/>
      <c r="C95" s="1547"/>
      <c r="D95" s="1547"/>
      <c r="E95" s="1548"/>
      <c r="F95" s="1548"/>
      <c r="G95" s="1548"/>
      <c r="H95" s="666"/>
      <c r="I95" s="666"/>
    </row>
    <row r="96" spans="1:10" ht="32.25" customHeight="1" thickBot="1">
      <c r="A96" s="1549"/>
      <c r="B96" s="1549"/>
      <c r="C96" s="1549"/>
      <c r="D96" s="1549"/>
      <c r="E96" s="1549"/>
      <c r="F96" s="1549"/>
      <c r="G96" s="1549"/>
      <c r="H96" s="666"/>
      <c r="I96" s="666"/>
    </row>
    <row r="97" spans="1:8" ht="21.75" customHeight="1" thickBot="1">
      <c r="A97" s="1678" t="s">
        <v>358</v>
      </c>
      <c r="B97" s="1679"/>
      <c r="C97" s="1679"/>
      <c r="D97" s="1679"/>
      <c r="E97" s="1679"/>
      <c r="F97" s="1679"/>
      <c r="G97" s="1680"/>
      <c r="H97" s="667"/>
    </row>
    <row r="98" spans="1:8" ht="12.75" customHeight="1">
      <c r="A98" s="1606" t="s">
        <v>357</v>
      </c>
      <c r="B98" s="1609" t="s">
        <v>396</v>
      </c>
      <c r="C98" s="1610"/>
      <c r="D98" s="1611"/>
      <c r="E98" s="1550" t="s">
        <v>396</v>
      </c>
      <c r="F98" s="1551"/>
      <c r="G98" s="1552"/>
      <c r="H98" s="666"/>
    </row>
    <row r="99" spans="1:8" ht="21" customHeight="1">
      <c r="A99" s="1607"/>
      <c r="B99" s="1612">
        <v>40999</v>
      </c>
      <c r="C99" s="1613"/>
      <c r="D99" s="1614"/>
      <c r="E99" s="1553" t="str">
        <f>'Løntabel gældende fra'!$D$1</f>
        <v>01/04/2022</v>
      </c>
      <c r="F99" s="1554"/>
      <c r="G99" s="1555"/>
    </row>
    <row r="100" spans="1:8" ht="16.5" customHeight="1">
      <c r="A100" s="1607"/>
      <c r="B100" s="1615"/>
      <c r="C100" s="1616"/>
      <c r="D100" s="1617"/>
      <c r="E100" s="1556"/>
      <c r="F100" s="1557"/>
      <c r="G100" s="1558"/>
    </row>
    <row r="101" spans="1:8" ht="19.5" customHeight="1" thickBot="1">
      <c r="A101" s="1608"/>
      <c r="B101" s="1686" t="s">
        <v>397</v>
      </c>
      <c r="C101" s="1559"/>
      <c r="D101" s="737" t="s">
        <v>398</v>
      </c>
      <c r="E101" s="1559" t="s">
        <v>397</v>
      </c>
      <c r="F101" s="1559"/>
      <c r="G101" s="738" t="s">
        <v>398</v>
      </c>
    </row>
    <row r="102" spans="1:8" ht="14.25" customHeight="1">
      <c r="A102" s="746">
        <v>1</v>
      </c>
      <c r="B102" s="1620">
        <v>485345</v>
      </c>
      <c r="C102" s="1621"/>
      <c r="D102" s="735">
        <v>511173</v>
      </c>
      <c r="E102" s="1605">
        <f>ROUND(B102*(1+'Løntabel gældende fra'!$D$7/100),2)</f>
        <v>550431.71</v>
      </c>
      <c r="F102" s="1605"/>
      <c r="G102" s="736">
        <f>ROUND(D102*(1+'Løntabel gældende fra'!$D$7/100),2)</f>
        <v>579723.34</v>
      </c>
    </row>
    <row r="103" spans="1:8" ht="17" thickBot="1">
      <c r="A103" s="734">
        <v>2</v>
      </c>
      <c r="B103" s="1545">
        <v>450909</v>
      </c>
      <c r="C103" s="1546"/>
      <c r="D103" s="733">
        <v>472431</v>
      </c>
      <c r="E103" s="1605">
        <f>ROUND(B103*(1+'Løntabel gældende fra'!$D$7/100),2)</f>
        <v>511377.7</v>
      </c>
      <c r="F103" s="1605"/>
      <c r="G103" s="736">
        <f>ROUND(D103*(1+'Løntabel gældende fra'!$D$7/100),2)</f>
        <v>535785.89</v>
      </c>
    </row>
    <row r="104" spans="1:8">
      <c r="A104" s="1502" t="s">
        <v>425</v>
      </c>
      <c r="B104" s="1502"/>
      <c r="C104" s="1502"/>
      <c r="D104" s="1502"/>
      <c r="E104" s="1502"/>
      <c r="F104" s="1502"/>
      <c r="G104" s="1502"/>
    </row>
    <row r="105" spans="1:8" ht="18" customHeight="1" thickBot="1">
      <c r="A105" s="27"/>
    </row>
    <row r="106" spans="1:8" ht="19" thickBot="1">
      <c r="A106" s="1683" t="s">
        <v>356</v>
      </c>
      <c r="B106" s="1684"/>
      <c r="C106" s="1684"/>
      <c r="D106" s="1684"/>
      <c r="E106" s="1684"/>
      <c r="F106" s="1684"/>
      <c r="G106" s="1685"/>
    </row>
    <row r="107" spans="1:8" ht="26.25" customHeight="1">
      <c r="A107" s="1588" t="s">
        <v>259</v>
      </c>
      <c r="B107" s="1474" t="s">
        <v>131</v>
      </c>
      <c r="C107" s="1475" t="s">
        <v>340</v>
      </c>
      <c r="D107" s="1647" t="s">
        <v>278</v>
      </c>
      <c r="E107" s="1475" t="str">
        <f>F8</f>
        <v>Pensionsbidrag til AkedemikerPension</v>
      </c>
      <c r="F107" s="1475"/>
      <c r="G107" s="1476"/>
    </row>
    <row r="108" spans="1:8" ht="21.75" customHeight="1">
      <c r="A108" s="1589"/>
      <c r="B108" s="1477"/>
      <c r="C108" s="1478"/>
      <c r="D108" s="1648"/>
      <c r="E108" s="1478"/>
      <c r="F108" s="1478"/>
      <c r="G108" s="1479"/>
    </row>
    <row r="109" spans="1:8" ht="18" customHeight="1" thickBot="1">
      <c r="A109" s="1589"/>
      <c r="B109" s="740">
        <v>40999</v>
      </c>
      <c r="C109" s="732" t="str">
        <f>'Løntabel gældende fra'!$D$1</f>
        <v>01/04/2022</v>
      </c>
      <c r="D109" s="732" t="str">
        <f>C109</f>
        <v>01/04/2022</v>
      </c>
      <c r="E109" s="1480" t="s">
        <v>353</v>
      </c>
      <c r="F109" s="1480"/>
      <c r="G109" s="1481"/>
    </row>
    <row r="110" spans="1:8" ht="17.25" customHeight="1" thickBot="1">
      <c r="A110" s="1590"/>
      <c r="B110" s="739">
        <v>460000</v>
      </c>
      <c r="C110" s="730">
        <f>ROUND(B110*(1+'Løntabel gældende fra'!$D$7/100),2)</f>
        <v>521687.84</v>
      </c>
      <c r="D110" s="729">
        <f>ROUND(C110/12,2)</f>
        <v>43473.99</v>
      </c>
      <c r="E110" s="1649">
        <f>ROUND(D110*0.168,2)</f>
        <v>7303.63</v>
      </c>
      <c r="F110" s="1650"/>
      <c r="G110" s="1651"/>
    </row>
    <row r="111" spans="1:8" ht="17.25" customHeight="1" thickBot="1">
      <c r="A111" s="692"/>
      <c r="B111" s="680"/>
      <c r="C111" s="680"/>
      <c r="D111" s="680"/>
      <c r="E111" s="681"/>
      <c r="F111" s="681"/>
      <c r="G111" s="681"/>
    </row>
    <row r="112" spans="1:8" ht="17.25" customHeight="1">
      <c r="A112" s="1652" t="s">
        <v>355</v>
      </c>
      <c r="B112" s="1653"/>
      <c r="C112" s="1653"/>
      <c r="D112" s="1653"/>
      <c r="E112" s="1653"/>
      <c r="F112" s="1653"/>
      <c r="G112" s="1654"/>
    </row>
    <row r="113" spans="1:9" ht="19.5" customHeight="1" thickBot="1">
      <c r="A113" s="1637" t="s">
        <v>354</v>
      </c>
      <c r="B113" s="1638"/>
      <c r="C113" s="1638"/>
      <c r="D113" s="1638"/>
      <c r="E113" s="1638"/>
      <c r="F113" s="1638"/>
      <c r="G113" s="1639"/>
    </row>
    <row r="114" spans="1:9" ht="20.25" customHeight="1">
      <c r="A114" s="1564" t="s">
        <v>115</v>
      </c>
      <c r="B114" s="1641" t="s">
        <v>131</v>
      </c>
      <c r="C114" s="1643" t="s">
        <v>340</v>
      </c>
      <c r="D114" s="1645" t="s">
        <v>278</v>
      </c>
      <c r="E114" s="1475" t="str">
        <f>E107</f>
        <v>Pensionsbidrag til AkedemikerPension</v>
      </c>
      <c r="F114" s="1475"/>
      <c r="G114" s="1476"/>
    </row>
    <row r="115" spans="1:9" ht="20.25" customHeight="1">
      <c r="A115" s="1640"/>
      <c r="B115" s="1642"/>
      <c r="C115" s="1644"/>
      <c r="D115" s="1646"/>
      <c r="E115" s="1478"/>
      <c r="F115" s="1478"/>
      <c r="G115" s="1479"/>
    </row>
    <row r="116" spans="1:9" ht="21" customHeight="1" thickBot="1">
      <c r="A116" s="745"/>
      <c r="B116" s="731">
        <v>40999</v>
      </c>
      <c r="C116" s="732" t="str">
        <f>'Løntabel gældende fra'!$D$1</f>
        <v>01/04/2022</v>
      </c>
      <c r="D116" s="732" t="str">
        <f>C116</f>
        <v>01/04/2022</v>
      </c>
      <c r="E116" s="1472" t="s">
        <v>353</v>
      </c>
      <c r="F116" s="1472"/>
      <c r="G116" s="1473"/>
    </row>
    <row r="117" spans="1:9" ht="19.5" customHeight="1">
      <c r="A117" s="743" t="s">
        <v>352</v>
      </c>
      <c r="B117" s="741">
        <v>131590</v>
      </c>
      <c r="C117" s="756">
        <f>ROUND(B117*(1+'Løntabel gældende fra'!$D$7/100),2)</f>
        <v>149236.75</v>
      </c>
      <c r="D117" s="756">
        <f>ROUND(C117/12,2)</f>
        <v>12436.4</v>
      </c>
      <c r="E117" s="1454">
        <f>ROUND(D117*0.168,2)</f>
        <v>2089.3200000000002</v>
      </c>
      <c r="F117" s="1454"/>
      <c r="G117" s="1455"/>
    </row>
    <row r="118" spans="1:9" ht="15.75" customHeight="1" thickBot="1">
      <c r="A118" s="744" t="s">
        <v>351</v>
      </c>
      <c r="B118" s="742">
        <v>150988</v>
      </c>
      <c r="C118" s="755">
        <f>ROUND(B118*(1+'Løntabel gældende fra'!$D$7/100),2)</f>
        <v>171236.09</v>
      </c>
      <c r="D118" s="914">
        <f>ROUND(C118/12,2)</f>
        <v>14269.67</v>
      </c>
      <c r="E118" s="1454">
        <f>ROUND(D118*0.168,2)</f>
        <v>2397.3000000000002</v>
      </c>
      <c r="F118" s="1454"/>
      <c r="G118" s="1455"/>
    </row>
    <row r="119" spans="1:9">
      <c r="A119" s="760" t="s">
        <v>403</v>
      </c>
      <c r="B119" s="676"/>
      <c r="C119" s="676"/>
      <c r="D119" s="676"/>
      <c r="E119" s="676"/>
      <c r="F119" s="676"/>
      <c r="G119" s="676"/>
      <c r="H119" s="678"/>
      <c r="I119" s="678"/>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6"/>
  <sheetViews>
    <sheetView view="pageBreakPreview" topLeftCell="A30" zoomScaleSheetLayoutView="100" workbookViewId="0">
      <selection activeCell="E27" sqref="E27"/>
    </sheetView>
  </sheetViews>
  <sheetFormatPr baseColWidth="10" defaultColWidth="8.83203125" defaultRowHeight="14"/>
  <cols>
    <col min="1" max="1" width="10" style="243" customWidth="1"/>
    <col min="2" max="8" width="17" style="243" customWidth="1"/>
    <col min="9" max="16384" width="8.83203125" style="243"/>
  </cols>
  <sheetData>
    <row r="1" spans="1:8" ht="20">
      <c r="A1" s="1266" t="s">
        <v>19</v>
      </c>
      <c r="B1" s="1267"/>
      <c r="C1" s="1267"/>
      <c r="D1" s="1267"/>
      <c r="E1" s="1267"/>
      <c r="F1" s="1267"/>
      <c r="G1" s="1267"/>
      <c r="H1" s="1268"/>
    </row>
    <row r="2" spans="1:8" ht="20">
      <c r="A2" s="1279" t="s">
        <v>167</v>
      </c>
      <c r="B2" s="1280"/>
      <c r="C2" s="1280"/>
      <c r="D2" s="1280"/>
      <c r="E2" s="1280"/>
      <c r="F2" s="1280"/>
      <c r="G2" s="1280"/>
      <c r="H2" s="1281"/>
    </row>
    <row r="3" spans="1:8" ht="21" thickBot="1">
      <c r="A3" s="1758" t="str">
        <f>'Forside 1'!A6:I6</f>
        <v>Gældende fra 1. august 2022</v>
      </c>
      <c r="B3" s="1759"/>
      <c r="C3" s="1759"/>
      <c r="D3" s="1759"/>
      <c r="E3" s="1759"/>
      <c r="F3" s="1759"/>
      <c r="G3" s="1759"/>
      <c r="H3" s="1760"/>
    </row>
    <row r="4" spans="1:8" s="548" customFormat="1" ht="18.75" customHeight="1" thickBot="1">
      <c r="A4" s="677"/>
      <c r="B4" s="677"/>
      <c r="C4" s="677"/>
      <c r="D4" s="677"/>
      <c r="E4" s="677"/>
      <c r="F4" s="677"/>
      <c r="G4" s="677"/>
      <c r="H4" s="677"/>
    </row>
    <row r="5" spans="1:8" ht="41.25" customHeight="1" thickBot="1">
      <c r="A5" s="1763" t="s">
        <v>523</v>
      </c>
      <c r="B5" s="1764"/>
      <c r="C5" s="1764"/>
      <c r="D5" s="1764"/>
      <c r="E5" s="1764"/>
      <c r="F5" s="1765"/>
      <c r="G5" s="1730" t="s">
        <v>93</v>
      </c>
      <c r="H5" s="1731"/>
    </row>
    <row r="6" spans="1:8" ht="26" customHeight="1" thickBot="1">
      <c r="A6" s="1727" t="s">
        <v>522</v>
      </c>
      <c r="B6" s="1728"/>
      <c r="C6" s="1728"/>
      <c r="D6" s="1728"/>
      <c r="E6" s="1728"/>
      <c r="F6" s="1728"/>
      <c r="G6" s="1728"/>
      <c r="H6" s="1729"/>
    </row>
    <row r="7" spans="1:8" ht="15">
      <c r="A7" s="759" t="s">
        <v>57</v>
      </c>
      <c r="B7" s="759" t="s">
        <v>75</v>
      </c>
      <c r="C7" s="759" t="s">
        <v>76</v>
      </c>
      <c r="D7" s="759" t="s">
        <v>77</v>
      </c>
      <c r="E7" s="759" t="s">
        <v>78</v>
      </c>
      <c r="F7" s="759" t="s">
        <v>79</v>
      </c>
      <c r="G7" s="759" t="s">
        <v>235</v>
      </c>
      <c r="H7" s="750">
        <v>0.14699999999999999</v>
      </c>
    </row>
    <row r="8" spans="1:8" ht="16">
      <c r="A8" s="604">
        <v>14</v>
      </c>
      <c r="B8" s="605">
        <f>+'Statens skalatrin'!D46</f>
        <v>21511.25</v>
      </c>
      <c r="C8" s="605">
        <f>+'Statens skalatrin'!F46</f>
        <v>21959.17</v>
      </c>
      <c r="D8" s="605">
        <f>+'Statens skalatrin'!H46</f>
        <v>22269.25</v>
      </c>
      <c r="E8" s="605">
        <f>+'Statens skalatrin'!J46</f>
        <v>22717.17</v>
      </c>
      <c r="F8" s="605">
        <f>+'Statens skalatrin'!L46</f>
        <v>23027.25</v>
      </c>
      <c r="G8" s="606">
        <f>+'Statens skalatrin'!O46</f>
        <v>20112.32</v>
      </c>
      <c r="H8" s="606">
        <f>ROUND(G8*$H$7,2)</f>
        <v>2956.51</v>
      </c>
    </row>
    <row r="9" spans="1:8" ht="16">
      <c r="A9" s="604">
        <v>15</v>
      </c>
      <c r="B9" s="605">
        <f>+'Statens skalatrin'!D49</f>
        <v>21892.83</v>
      </c>
      <c r="C9" s="605">
        <f>+'Statens skalatrin'!F49</f>
        <v>22352</v>
      </c>
      <c r="D9" s="605">
        <f>+'Statens skalatrin'!H49</f>
        <v>22669.83</v>
      </c>
      <c r="E9" s="605">
        <f>+'Statens skalatrin'!J49</f>
        <v>23129.08</v>
      </c>
      <c r="F9" s="605">
        <f>+'Statens skalatrin'!L49</f>
        <v>23447</v>
      </c>
      <c r="G9" s="606">
        <f>+'Statens skalatrin'!O49</f>
        <v>20469.79</v>
      </c>
      <c r="H9" s="606">
        <f t="shared" ref="H9:H33" si="0">ROUND(G9*$H$7,2)</f>
        <v>3009.06</v>
      </c>
    </row>
    <row r="10" spans="1:8" ht="16">
      <c r="A10" s="604">
        <v>16</v>
      </c>
      <c r="B10" s="605">
        <f>'Statens skalatrin'!D52</f>
        <v>22185.25</v>
      </c>
      <c r="C10" s="605">
        <f>+'Statens skalatrin'!F52</f>
        <v>22656.080000000002</v>
      </c>
      <c r="D10" s="605">
        <f>+'Statens skalatrin'!H52</f>
        <v>22982.17</v>
      </c>
      <c r="E10" s="605">
        <f>+'Statens skalatrin'!J52</f>
        <v>23452.92</v>
      </c>
      <c r="F10" s="605">
        <f>+'Statens skalatrin'!L52</f>
        <v>23778.92</v>
      </c>
      <c r="G10" s="606">
        <f>+'Statens skalatrin'!O52</f>
        <v>20837.32</v>
      </c>
      <c r="H10" s="606">
        <f t="shared" si="0"/>
        <v>3063.09</v>
      </c>
    </row>
    <row r="11" spans="1:8" ht="16">
      <c r="A11" s="604">
        <v>17</v>
      </c>
      <c r="B11" s="605">
        <f>'Statens skalatrin'!D55</f>
        <v>22588.080000000002</v>
      </c>
      <c r="C11" s="605">
        <f>+'Statens skalatrin'!F55</f>
        <v>23070.92</v>
      </c>
      <c r="D11" s="605">
        <f>+'Statens skalatrin'!H55</f>
        <v>23405.17</v>
      </c>
      <c r="E11" s="605">
        <f>+'Statens skalatrin'!J55</f>
        <v>23887.919999999998</v>
      </c>
      <c r="F11" s="605">
        <f>+'Statens skalatrin'!L55</f>
        <v>24222</v>
      </c>
      <c r="G11" s="606">
        <f>+'Statens skalatrin'!O55</f>
        <v>21214.74</v>
      </c>
      <c r="H11" s="606">
        <f t="shared" si="0"/>
        <v>3118.57</v>
      </c>
    </row>
    <row r="12" spans="1:8" ht="16">
      <c r="A12" s="604">
        <v>18</v>
      </c>
      <c r="B12" s="605">
        <f>'Statens skalatrin'!D58</f>
        <v>23002.17</v>
      </c>
      <c r="C12" s="605">
        <f>+'Statens skalatrin'!F58</f>
        <v>23497.33</v>
      </c>
      <c r="D12" s="605">
        <f>+'Statens skalatrin'!H58</f>
        <v>23840</v>
      </c>
      <c r="E12" s="605">
        <f>+'Statens skalatrin'!J58</f>
        <v>24335</v>
      </c>
      <c r="F12" s="605">
        <f>+'Statens skalatrin'!L58</f>
        <v>24677.67</v>
      </c>
      <c r="G12" s="606">
        <f>+'Statens skalatrin'!O58</f>
        <v>21602.74</v>
      </c>
      <c r="H12" s="606">
        <f t="shared" si="0"/>
        <v>3175.6</v>
      </c>
    </row>
    <row r="13" spans="1:8" ht="16">
      <c r="A13" s="604">
        <v>19</v>
      </c>
      <c r="B13" s="605">
        <f>'Statens skalatrin'!D61</f>
        <v>23311.25</v>
      </c>
      <c r="C13" s="605">
        <f>+'Statens skalatrin'!F61</f>
        <v>23818.92</v>
      </c>
      <c r="D13" s="605">
        <f>+'Statens skalatrin'!H61</f>
        <v>24170.25</v>
      </c>
      <c r="E13" s="605">
        <f>+'Statens skalatrin'!J61</f>
        <v>24678</v>
      </c>
      <c r="F13" s="605">
        <f>+'Statens skalatrin'!L61</f>
        <v>25029.58</v>
      </c>
      <c r="G13" s="606">
        <f>+'Statens skalatrin'!O61</f>
        <v>22001.32</v>
      </c>
      <c r="H13" s="606">
        <f t="shared" si="0"/>
        <v>3234.19</v>
      </c>
    </row>
    <row r="14" spans="1:8" ht="16">
      <c r="A14" s="604">
        <v>20</v>
      </c>
      <c r="B14" s="605">
        <f>+'Statens skalatrin'!D64</f>
        <v>23632.17</v>
      </c>
      <c r="C14" s="605">
        <f>+'Statens skalatrin'!F64</f>
        <v>24152.67</v>
      </c>
      <c r="D14" s="605">
        <f>+'Statens skalatrin'!H64</f>
        <v>24513.08</v>
      </c>
      <c r="E14" s="605">
        <f>+'Statens skalatrin'!J64</f>
        <v>25033.67</v>
      </c>
      <c r="F14" s="605">
        <f>+'Statens skalatrin'!L64</f>
        <v>25393.919999999998</v>
      </c>
      <c r="G14" s="606">
        <f>+'Statens skalatrin'!O64</f>
        <v>22410.799999999999</v>
      </c>
      <c r="H14" s="606">
        <f t="shared" si="0"/>
        <v>3294.39</v>
      </c>
    </row>
    <row r="15" spans="1:8" ht="16">
      <c r="A15" s="604">
        <v>21</v>
      </c>
      <c r="B15" s="605">
        <f>+'Statens skalatrin'!D67</f>
        <v>24023.33</v>
      </c>
      <c r="C15" s="605">
        <f>+'Statens skalatrin'!F67</f>
        <v>24557.25</v>
      </c>
      <c r="D15" s="605">
        <f>+'Statens skalatrin'!H67</f>
        <v>24926.83</v>
      </c>
      <c r="E15" s="605">
        <f>+'Statens skalatrin'!J67</f>
        <v>25460.75</v>
      </c>
      <c r="F15" s="605">
        <f>+'Statens skalatrin'!L67</f>
        <v>25830.33</v>
      </c>
      <c r="G15" s="606">
        <f>+'Statens skalatrin'!O67</f>
        <v>22831.72</v>
      </c>
      <c r="H15" s="606">
        <f t="shared" si="0"/>
        <v>3356.26</v>
      </c>
    </row>
    <row r="16" spans="1:8" ht="16">
      <c r="A16" s="604">
        <v>22</v>
      </c>
      <c r="B16" s="605">
        <f>+'Statens skalatrin'!D70</f>
        <v>24385.75</v>
      </c>
      <c r="C16" s="605">
        <f>+'Statens skalatrin'!F70</f>
        <v>24919.67</v>
      </c>
      <c r="D16" s="605">
        <f>+'Statens skalatrin'!H70</f>
        <v>25289.25</v>
      </c>
      <c r="E16" s="605">
        <f>+'Statens skalatrin'!J70</f>
        <v>25823.17</v>
      </c>
      <c r="F16" s="605">
        <f>+'Statens skalatrin'!L70</f>
        <v>26192.83</v>
      </c>
      <c r="G16" s="606">
        <f>+'Statens skalatrin'!O70</f>
        <v>23252.28</v>
      </c>
      <c r="H16" s="606">
        <f t="shared" si="0"/>
        <v>3418.09</v>
      </c>
    </row>
    <row r="17" spans="1:8" ht="16">
      <c r="A17" s="604">
        <v>23</v>
      </c>
      <c r="B17" s="605">
        <f>+'Statens skalatrin'!D73</f>
        <v>24774.25</v>
      </c>
      <c r="C17" s="605">
        <f>+'Statens skalatrin'!F73</f>
        <v>25293.25</v>
      </c>
      <c r="D17" s="605">
        <f>+'Statens skalatrin'!H73</f>
        <v>25652.83</v>
      </c>
      <c r="E17" s="605">
        <f>+'Statens skalatrin'!J73</f>
        <v>26172.080000000002</v>
      </c>
      <c r="F17" s="605">
        <f>+'Statens skalatrin'!L73</f>
        <v>26531.42</v>
      </c>
      <c r="G17" s="606">
        <f>+'Statens skalatrin'!O73</f>
        <v>23671.83</v>
      </c>
      <c r="H17" s="606">
        <f t="shared" si="0"/>
        <v>3479.76</v>
      </c>
    </row>
    <row r="18" spans="1:8" ht="16">
      <c r="A18" s="604">
        <v>24</v>
      </c>
      <c r="B18" s="605">
        <f>+'Statens skalatrin'!D76</f>
        <v>25174.5</v>
      </c>
      <c r="C18" s="605">
        <f>+'Statens skalatrin'!F76</f>
        <v>25678.92</v>
      </c>
      <c r="D18" s="605">
        <f>+'Statens skalatrin'!H76</f>
        <v>26028.25</v>
      </c>
      <c r="E18" s="605">
        <f>+'Statens skalatrin'!J76</f>
        <v>26532.83</v>
      </c>
      <c r="F18" s="605">
        <f>+'Statens skalatrin'!L76</f>
        <v>26882.17</v>
      </c>
      <c r="G18" s="606">
        <f>+'Statens skalatrin'!O76</f>
        <v>24103.3</v>
      </c>
      <c r="H18" s="606">
        <f t="shared" si="0"/>
        <v>3543.19</v>
      </c>
    </row>
    <row r="19" spans="1:8" ht="16">
      <c r="A19" s="604">
        <v>25</v>
      </c>
      <c r="B19" s="605">
        <f>+'Statens skalatrin'!D79</f>
        <v>25583.58</v>
      </c>
      <c r="C19" s="605">
        <f>+'Statens skalatrin'!F79</f>
        <v>26072.42</v>
      </c>
      <c r="D19" s="605">
        <f>+'Statens skalatrin'!H79</f>
        <v>26410.83</v>
      </c>
      <c r="E19" s="605">
        <f>+'Statens skalatrin'!J79</f>
        <v>26899.58</v>
      </c>
      <c r="F19" s="605">
        <f>+'Statens skalatrin'!L79</f>
        <v>27238</v>
      </c>
      <c r="G19" s="606">
        <f>+'Statens skalatrin'!O79</f>
        <v>24545.95</v>
      </c>
      <c r="H19" s="606">
        <f t="shared" si="0"/>
        <v>3608.25</v>
      </c>
    </row>
    <row r="20" spans="1:8" ht="16">
      <c r="A20" s="604">
        <v>26</v>
      </c>
      <c r="B20" s="605">
        <f>+'Statens skalatrin'!D82</f>
        <v>26002.25</v>
      </c>
      <c r="C20" s="605">
        <f>+'Statens skalatrin'!F82</f>
        <v>26474.080000000002</v>
      </c>
      <c r="D20" s="605">
        <f>+'Statens skalatrin'!H82</f>
        <v>26800.75</v>
      </c>
      <c r="E20" s="605">
        <f>+'Statens skalatrin'!J82</f>
        <v>27272.67</v>
      </c>
      <c r="F20" s="605">
        <f>+'Statens skalatrin'!L82</f>
        <v>27599.25</v>
      </c>
      <c r="G20" s="606">
        <f>+'Statens skalatrin'!O82</f>
        <v>25000.240000000002</v>
      </c>
      <c r="H20" s="606">
        <f t="shared" si="0"/>
        <v>3675.04</v>
      </c>
    </row>
    <row r="21" spans="1:8" ht="16">
      <c r="A21" s="604">
        <v>27</v>
      </c>
      <c r="B21" s="605">
        <f>+'Statens skalatrin'!D85</f>
        <v>26429.919999999998</v>
      </c>
      <c r="C21" s="605">
        <f>+'Statens skalatrin'!F85</f>
        <v>26883.58</v>
      </c>
      <c r="D21" s="605">
        <f>+'Statens skalatrin'!H85</f>
        <v>27197.919999999998</v>
      </c>
      <c r="E21" s="605">
        <f>+'Statens skalatrin'!J85</f>
        <v>27651.67</v>
      </c>
      <c r="F21" s="605">
        <f>+'Statens skalatrin'!L85</f>
        <v>27965.83</v>
      </c>
      <c r="G21" s="606">
        <f>+'Statens skalatrin'!O85</f>
        <v>25466.3</v>
      </c>
      <c r="H21" s="606">
        <f t="shared" si="0"/>
        <v>3743.55</v>
      </c>
    </row>
    <row r="22" spans="1:8" ht="16">
      <c r="A22" s="604">
        <v>28</v>
      </c>
      <c r="B22" s="605">
        <f>+'Statens skalatrin'!D88</f>
        <v>26867.17</v>
      </c>
      <c r="C22" s="605">
        <f>+'Statens skalatrin'!F88</f>
        <v>27301.75</v>
      </c>
      <c r="D22" s="605">
        <f>+'Statens skalatrin'!H88</f>
        <v>27602.58</v>
      </c>
      <c r="E22" s="605">
        <f>+'Statens skalatrin'!J88</f>
        <v>28037</v>
      </c>
      <c r="F22" s="605">
        <f>+'Statens skalatrin'!L88</f>
        <v>28337.919999999998</v>
      </c>
      <c r="G22" s="606">
        <f>+'Statens skalatrin'!O88</f>
        <v>25944.73</v>
      </c>
      <c r="H22" s="606">
        <f t="shared" si="0"/>
        <v>3813.88</v>
      </c>
    </row>
    <row r="23" spans="1:8" ht="16">
      <c r="A23" s="604">
        <v>29</v>
      </c>
      <c r="B23" s="605">
        <f>+'Statens skalatrin'!D91</f>
        <v>27314.33</v>
      </c>
      <c r="C23" s="605">
        <f>+'Statens skalatrin'!F91</f>
        <v>27728.25</v>
      </c>
      <c r="D23" s="605">
        <f>+'Statens skalatrin'!H91</f>
        <v>28014.92</v>
      </c>
      <c r="E23" s="605">
        <f>+'Statens skalatrin'!J91</f>
        <v>28428.83</v>
      </c>
      <c r="F23" s="605">
        <f>+'Statens skalatrin'!L91</f>
        <v>28715.42</v>
      </c>
      <c r="G23" s="606">
        <f>+'Statens skalatrin'!O91</f>
        <v>26435.49</v>
      </c>
      <c r="H23" s="606">
        <f t="shared" si="0"/>
        <v>3886.02</v>
      </c>
    </row>
    <row r="24" spans="1:8" ht="16">
      <c r="A24" s="604">
        <v>30</v>
      </c>
      <c r="B24" s="605">
        <f>+'Statens skalatrin'!D94</f>
        <v>27771.67</v>
      </c>
      <c r="C24" s="605">
        <f>+'Statens skalatrin'!F94</f>
        <v>28163.67</v>
      </c>
      <c r="D24" s="605">
        <f>+'Statens skalatrin'!H94</f>
        <v>28435</v>
      </c>
      <c r="E24" s="605">
        <f>+'Statens skalatrin'!J94</f>
        <v>28826.83</v>
      </c>
      <c r="F24" s="605">
        <f>+'Statens skalatrin'!L94</f>
        <v>29098.25</v>
      </c>
      <c r="G24" s="606">
        <f>+'Statens skalatrin'!O94</f>
        <v>26939.200000000001</v>
      </c>
      <c r="H24" s="606">
        <f t="shared" si="0"/>
        <v>3960.06</v>
      </c>
    </row>
    <row r="25" spans="1:8" ht="16">
      <c r="A25" s="604">
        <v>31</v>
      </c>
      <c r="B25" s="605">
        <f>+'Statens skalatrin'!D97</f>
        <v>28238.75</v>
      </c>
      <c r="C25" s="605">
        <f>+'Statens skalatrin'!F97</f>
        <v>28607.42</v>
      </c>
      <c r="D25" s="605">
        <f>+'Statens skalatrin'!H97</f>
        <v>28862.75</v>
      </c>
      <c r="E25" s="605">
        <f>+'Statens skalatrin'!J97</f>
        <v>29231.42</v>
      </c>
      <c r="F25" s="605">
        <f>+'Statens skalatrin'!L97</f>
        <v>29486.67</v>
      </c>
      <c r="G25" s="606">
        <f>+'Statens skalatrin'!O97</f>
        <v>27455.96</v>
      </c>
      <c r="H25" s="606">
        <f t="shared" si="0"/>
        <v>4036.03</v>
      </c>
    </row>
    <row r="26" spans="1:8" ht="16">
      <c r="A26" s="604">
        <v>32</v>
      </c>
      <c r="B26" s="605">
        <f>+'Statens skalatrin'!D100</f>
        <v>28716.67</v>
      </c>
      <c r="C26" s="605">
        <f>+'Statens skalatrin'!F100</f>
        <v>29060.5</v>
      </c>
      <c r="D26" s="605">
        <f>+'Statens skalatrin'!H100</f>
        <v>29298.5</v>
      </c>
      <c r="E26" s="605">
        <f>+'Statens skalatrin'!J100</f>
        <v>29642.58</v>
      </c>
      <c r="F26" s="605">
        <f>+'Statens skalatrin'!L100</f>
        <v>29880.5</v>
      </c>
      <c r="G26" s="606">
        <f>+'Statens skalatrin'!O100</f>
        <v>27986.400000000001</v>
      </c>
      <c r="H26" s="606">
        <f t="shared" si="0"/>
        <v>4114</v>
      </c>
    </row>
    <row r="27" spans="1:8" ht="16">
      <c r="A27" s="604">
        <v>33</v>
      </c>
      <c r="B27" s="605">
        <f>+'Statens skalatrin'!D103</f>
        <v>29204.67</v>
      </c>
      <c r="C27" s="605">
        <f>+'Statens skalatrin'!F103</f>
        <v>29522.17</v>
      </c>
      <c r="D27" s="605">
        <f>+'Statens skalatrin'!H103</f>
        <v>29742.17</v>
      </c>
      <c r="E27" s="605">
        <f>+'Statens skalatrin'!J103</f>
        <v>30059.75</v>
      </c>
      <c r="F27" s="605">
        <f>+'Statens skalatrin'!L103</f>
        <v>30279.67</v>
      </c>
      <c r="G27" s="606">
        <f>+'Statens skalatrin'!O103</f>
        <v>28530.45</v>
      </c>
      <c r="H27" s="606">
        <f t="shared" si="0"/>
        <v>4193.9799999999996</v>
      </c>
    </row>
    <row r="28" spans="1:8" ht="16">
      <c r="A28" s="604">
        <v>34</v>
      </c>
      <c r="B28" s="605">
        <f>+'Statens skalatrin'!D106</f>
        <v>29703.919999999998</v>
      </c>
      <c r="C28" s="605">
        <f>+'Statens skalatrin'!F106</f>
        <v>29993.58</v>
      </c>
      <c r="D28" s="605">
        <f>+'Statens skalatrin'!H106</f>
        <v>30194.080000000002</v>
      </c>
      <c r="E28" s="605">
        <f>+'Statens skalatrin'!J106</f>
        <v>30483.58</v>
      </c>
      <c r="F28" s="605">
        <f>+'Statens skalatrin'!L106</f>
        <v>30684.17</v>
      </c>
      <c r="G28" s="606">
        <f>+'Statens skalatrin'!O106</f>
        <v>29088.880000000001</v>
      </c>
      <c r="H28" s="606">
        <f t="shared" si="0"/>
        <v>4276.07</v>
      </c>
    </row>
    <row r="29" spans="1:8" ht="16">
      <c r="A29" s="604">
        <v>35</v>
      </c>
      <c r="B29" s="605">
        <f>+'Statens skalatrin'!D109</f>
        <v>30214.17</v>
      </c>
      <c r="C29" s="605">
        <f>+'Statens skalatrin'!F109</f>
        <v>30474.33</v>
      </c>
      <c r="D29" s="605">
        <f>+'Statens skalatrin'!H109</f>
        <v>30654.25</v>
      </c>
      <c r="E29" s="605">
        <f>+'Statens skalatrin'!J109</f>
        <v>30914.42</v>
      </c>
      <c r="F29" s="605">
        <f>+'Statens skalatrin'!L109</f>
        <v>31094.42</v>
      </c>
      <c r="G29" s="606">
        <f>+'Statens skalatrin'!O109</f>
        <v>29661.98</v>
      </c>
      <c r="H29" s="606">
        <f t="shared" si="0"/>
        <v>4360.3100000000004</v>
      </c>
    </row>
    <row r="30" spans="1:8" ht="16">
      <c r="A30" s="604">
        <v>36</v>
      </c>
      <c r="B30" s="605">
        <f>'Statens skalatrin'!D112</f>
        <v>30735.5</v>
      </c>
      <c r="C30" s="605">
        <f>+'Statens skalatrin'!F112</f>
        <v>30964.25</v>
      </c>
      <c r="D30" s="605">
        <f>+'Statens skalatrin'!H112</f>
        <v>31122.67</v>
      </c>
      <c r="E30" s="605">
        <f>+'Statens skalatrin'!J112</f>
        <v>31351.42</v>
      </c>
      <c r="F30" s="605">
        <f>+'Statens skalatrin'!L112</f>
        <v>31509.75</v>
      </c>
      <c r="G30" s="606">
        <f>+'Statens skalatrin'!O112</f>
        <v>30249.83</v>
      </c>
      <c r="H30" s="606">
        <f t="shared" si="0"/>
        <v>4446.7299999999996</v>
      </c>
    </row>
    <row r="31" spans="1:8" ht="16">
      <c r="A31" s="604">
        <v>37</v>
      </c>
      <c r="B31" s="605">
        <f>+'Statens skalatrin'!D115</f>
        <v>31268.5</v>
      </c>
      <c r="C31" s="605">
        <f>+'Statens skalatrin'!F115</f>
        <v>31464.080000000002</v>
      </c>
      <c r="D31" s="605">
        <f>+'Statens skalatrin'!H115</f>
        <v>31599.42</v>
      </c>
      <c r="E31" s="605">
        <f>+'Statens skalatrin'!J115</f>
        <v>31795.08</v>
      </c>
      <c r="F31" s="605">
        <f>+'Statens skalatrin'!L115</f>
        <v>31930.58</v>
      </c>
      <c r="G31" s="606">
        <f>+'Statens skalatrin'!O115</f>
        <v>30853.05</v>
      </c>
      <c r="H31" s="606">
        <f t="shared" si="0"/>
        <v>4535.3999999999996</v>
      </c>
    </row>
    <row r="32" spans="1:8" ht="16">
      <c r="A32" s="1046">
        <v>38</v>
      </c>
      <c r="B32" s="606">
        <f>+'Statens skalatrin'!D118</f>
        <v>31831.25</v>
      </c>
      <c r="C32" s="606">
        <f>+'Statens skalatrin'!F118</f>
        <v>31995</v>
      </c>
      <c r="D32" s="606">
        <f>+'Statens skalatrin'!H118</f>
        <v>32108.25</v>
      </c>
      <c r="E32" s="606">
        <f>+'Statens skalatrin'!J118</f>
        <v>32272</v>
      </c>
      <c r="F32" s="606">
        <f>+'Statens skalatrin'!L118</f>
        <v>32385.5</v>
      </c>
      <c r="G32" s="606">
        <f>+'Statens skalatrin'!O118</f>
        <v>31483.57</v>
      </c>
      <c r="H32" s="606">
        <f t="shared" si="0"/>
        <v>4628.08</v>
      </c>
    </row>
    <row r="33" spans="1:8" ht="17" thickBot="1">
      <c r="A33" s="1047">
        <v>39</v>
      </c>
      <c r="B33" s="1048">
        <f>'Statens skalatrin'!D121</f>
        <v>32399.58</v>
      </c>
      <c r="C33" s="1048">
        <f>'Statens skalatrin'!F121</f>
        <v>32525.75</v>
      </c>
      <c r="D33" s="1048">
        <f>'Statens skalatrin'!H121</f>
        <v>32613.08</v>
      </c>
      <c r="E33" s="1048">
        <f>'Statens skalatrin'!J121</f>
        <v>32739</v>
      </c>
      <c r="F33" s="1048">
        <f>'Statens skalatrin'!L121</f>
        <v>32826.33</v>
      </c>
      <c r="G33" s="1048">
        <f>'Statens skalatrin'!O121</f>
        <v>32131.95</v>
      </c>
      <c r="H33" s="1048">
        <f t="shared" si="0"/>
        <v>4723.3999999999996</v>
      </c>
    </row>
    <row r="34" spans="1:8" s="548" customFormat="1" ht="21" thickBot="1">
      <c r="A34" s="1766" t="s">
        <v>524</v>
      </c>
      <c r="B34" s="1767"/>
      <c r="C34" s="1767"/>
      <c r="D34" s="1767"/>
      <c r="E34" s="1767"/>
      <c r="F34" s="1768"/>
      <c r="G34" s="1761" t="s">
        <v>419</v>
      </c>
      <c r="H34" s="1762"/>
    </row>
    <row r="35" spans="1:8" ht="26" customHeight="1" thickBot="1">
      <c r="A35" s="1722" t="s">
        <v>522</v>
      </c>
      <c r="B35" s="1723"/>
      <c r="C35" s="1723"/>
      <c r="D35" s="1723"/>
      <c r="E35" s="1723"/>
      <c r="F35" s="1723"/>
      <c r="G35" s="1723"/>
      <c r="H35" s="1724"/>
    </row>
    <row r="36" spans="1:8" ht="26" customHeight="1" thickBot="1">
      <c r="A36" s="550" t="s">
        <v>57</v>
      </c>
      <c r="B36" s="550" t="s">
        <v>75</v>
      </c>
      <c r="C36" s="550" t="s">
        <v>76</v>
      </c>
      <c r="D36" s="550" t="s">
        <v>77</v>
      </c>
      <c r="E36" s="550" t="s">
        <v>78</v>
      </c>
      <c r="F36" s="550" t="s">
        <v>79</v>
      </c>
      <c r="G36" s="550" t="s">
        <v>235</v>
      </c>
      <c r="H36" s="758">
        <v>0.16200000000000001</v>
      </c>
    </row>
    <row r="37" spans="1:8" ht="16.5" customHeight="1">
      <c r="A37" s="675">
        <v>40</v>
      </c>
      <c r="B37" s="607">
        <f>'Statens skalatrin'!D124</f>
        <v>32980.33</v>
      </c>
      <c r="C37" s="607">
        <f>+'Statens skalatrin'!F124</f>
        <v>33066.5</v>
      </c>
      <c r="D37" s="607">
        <f>+'Statens skalatrin'!H124</f>
        <v>33126.25</v>
      </c>
      <c r="E37" s="607">
        <f>+'Statens skalatrin'!J124</f>
        <v>33212.42</v>
      </c>
      <c r="F37" s="607">
        <f>+'Statens skalatrin'!L124</f>
        <v>33272.17</v>
      </c>
      <c r="G37" s="607">
        <f>+'Statens skalatrin'!O124</f>
        <v>32797.1</v>
      </c>
      <c r="H37" s="608">
        <f>ROUND(G37*$H$36,2)</f>
        <v>5313.13</v>
      </c>
    </row>
    <row r="38" spans="1:8" ht="16">
      <c r="A38" s="604">
        <v>42</v>
      </c>
      <c r="B38" s="605">
        <f>'Statens skalatrin'!D130</f>
        <v>34180</v>
      </c>
      <c r="C38" s="605">
        <f>+'Statens skalatrin'!F130</f>
        <v>34180</v>
      </c>
      <c r="D38" s="605">
        <f>+'Statens skalatrin'!H130</f>
        <v>34180</v>
      </c>
      <c r="E38" s="605">
        <f>+'Statens skalatrin'!J130</f>
        <v>34180</v>
      </c>
      <c r="F38" s="605">
        <f>+'Statens skalatrin'!L130</f>
        <v>34180</v>
      </c>
      <c r="G38" s="605">
        <f>+'Statens skalatrin'!O130</f>
        <v>34179.93</v>
      </c>
      <c r="H38" s="608">
        <f t="shared" ref="H38:H40" si="1">ROUND(G38*$H$36,2)</f>
        <v>5537.15</v>
      </c>
    </row>
    <row r="39" spans="1:8" ht="16">
      <c r="A39" s="604">
        <v>44</v>
      </c>
      <c r="B39" s="605">
        <f>'Statens skalatrin'!D136</f>
        <v>35718.33</v>
      </c>
      <c r="C39" s="605">
        <f>+'Statens skalatrin'!F136</f>
        <v>35718.33</v>
      </c>
      <c r="D39" s="605">
        <f>+'Statens skalatrin'!H136</f>
        <v>35718.33</v>
      </c>
      <c r="E39" s="605">
        <f>+'Statens skalatrin'!J136</f>
        <v>35718.33</v>
      </c>
      <c r="F39" s="605">
        <f>+'Statens skalatrin'!L136</f>
        <v>35718.33</v>
      </c>
      <c r="G39" s="605">
        <f>+'Statens skalatrin'!O136</f>
        <v>35718.35</v>
      </c>
      <c r="H39" s="608">
        <f t="shared" si="1"/>
        <v>5786.37</v>
      </c>
    </row>
    <row r="40" spans="1:8" ht="17" thickBot="1">
      <c r="A40" s="609">
        <v>48</v>
      </c>
      <c r="B40" s="757">
        <f>'Statens skalatrin'!D148</f>
        <v>41680.83</v>
      </c>
      <c r="C40" s="757">
        <f>+'Statens skalatrin'!F148</f>
        <v>41680.83</v>
      </c>
      <c r="D40" s="757">
        <f>+'Statens skalatrin'!H148</f>
        <v>41680.83</v>
      </c>
      <c r="E40" s="757">
        <f>+'Statens skalatrin'!J148</f>
        <v>41680.83</v>
      </c>
      <c r="F40" s="757">
        <f>+'Statens skalatrin'!L148</f>
        <v>41680.83</v>
      </c>
      <c r="G40" s="757">
        <f>+'Statens skalatrin'!O148</f>
        <v>41680.76</v>
      </c>
      <c r="H40" s="608">
        <f t="shared" si="1"/>
        <v>6752.28</v>
      </c>
    </row>
    <row r="41" spans="1:8" ht="15" customHeight="1">
      <c r="A41" s="1756"/>
      <c r="B41" s="1756"/>
      <c r="C41" s="1756"/>
      <c r="D41" s="1756"/>
      <c r="E41" s="1756"/>
      <c r="F41" s="1756"/>
      <c r="G41" s="1756"/>
      <c r="H41" s="1756"/>
    </row>
    <row r="42" spans="1:8" s="548" customFormat="1" ht="15" thickBot="1">
      <c r="A42" s="1757"/>
      <c r="B42" s="1757"/>
      <c r="C42" s="1757"/>
      <c r="D42" s="1757"/>
      <c r="E42" s="1757"/>
      <c r="F42" s="1757"/>
      <c r="G42" s="1757"/>
      <c r="H42" s="1757"/>
    </row>
    <row r="43" spans="1:8" s="548" customFormat="1" ht="20">
      <c r="A43" s="1243" t="s">
        <v>517</v>
      </c>
      <c r="B43" s="1244"/>
      <c r="C43" s="1244"/>
      <c r="D43" s="1244"/>
      <c r="E43" s="1244"/>
      <c r="F43" s="1244"/>
      <c r="G43" s="1244"/>
      <c r="H43" s="1245"/>
    </row>
    <row r="44" spans="1:8" ht="26" customHeight="1" thickBot="1">
      <c r="A44" s="1732" t="s">
        <v>316</v>
      </c>
      <c r="B44" s="1733"/>
      <c r="C44" s="1733"/>
      <c r="D44" s="1733"/>
      <c r="E44" s="1733"/>
      <c r="F44" s="1733"/>
      <c r="G44" s="1733"/>
      <c r="H44" s="1734"/>
    </row>
    <row r="45" spans="1:8" ht="26" customHeight="1">
      <c r="A45" s="1737" t="s">
        <v>518</v>
      </c>
      <c r="B45" s="1738"/>
      <c r="C45" s="1739"/>
      <c r="D45" s="1769" t="s">
        <v>131</v>
      </c>
      <c r="E45" s="1770"/>
      <c r="F45" s="1769" t="s">
        <v>340</v>
      </c>
      <c r="G45" s="1770"/>
      <c r="H45" s="709" t="s">
        <v>278</v>
      </c>
    </row>
    <row r="46" spans="1:8" ht="15.75" customHeight="1" thickBot="1">
      <c r="A46" s="1740"/>
      <c r="B46" s="1741"/>
      <c r="C46" s="1742"/>
      <c r="D46" s="1771">
        <v>40999</v>
      </c>
      <c r="E46" s="1772"/>
      <c r="F46" s="1771" t="str">
        <f>'Løntabel gældende fra'!D1</f>
        <v>01/04/2022</v>
      </c>
      <c r="G46" s="1772"/>
      <c r="H46" s="593" t="str">
        <f>'Løntabel gældende fra'!$D$1</f>
        <v>01/04/2022</v>
      </c>
    </row>
    <row r="47" spans="1:8" ht="15" customHeight="1" thickBot="1">
      <c r="A47" s="1743"/>
      <c r="B47" s="1744"/>
      <c r="C47" s="1745"/>
      <c r="D47" s="1776">
        <v>4500</v>
      </c>
      <c r="E47" s="1777"/>
      <c r="F47" s="1778">
        <f>ROUND(+D47*(1+'Løntabel gældende fra'!$D$7/100),2)</f>
        <v>5103.47</v>
      </c>
      <c r="G47" s="1779">
        <f>+E47*(1+'Løntabel gældende fra'!$D$7/100)</f>
        <v>0</v>
      </c>
      <c r="H47" s="710">
        <f>ROUND(F47/12,2)</f>
        <v>425.29</v>
      </c>
    </row>
    <row r="48" spans="1:8" ht="15" customHeight="1" thickBot="1">
      <c r="A48" s="1790"/>
      <c r="B48" s="1791"/>
      <c r="C48" s="1791"/>
      <c r="D48" s="1791"/>
      <c r="E48" s="1791"/>
      <c r="F48" s="1791"/>
      <c r="G48" s="1791"/>
      <c r="H48" s="1792"/>
    </row>
    <row r="49" spans="1:8" s="548" customFormat="1" ht="18">
      <c r="A49" s="1174" t="s">
        <v>520</v>
      </c>
      <c r="B49" s="1175"/>
      <c r="C49" s="1175"/>
      <c r="D49" s="1175"/>
      <c r="E49" s="1175"/>
      <c r="F49" s="1175"/>
      <c r="G49" s="1175"/>
      <c r="H49" s="1176"/>
    </row>
    <row r="50" spans="1:8" ht="26" customHeight="1" thickBot="1">
      <c r="A50" s="1263" t="s">
        <v>316</v>
      </c>
      <c r="B50" s="1264"/>
      <c r="C50" s="1264"/>
      <c r="D50" s="1264"/>
      <c r="E50" s="1264"/>
      <c r="F50" s="1264"/>
      <c r="G50" s="1264"/>
      <c r="H50" s="1265"/>
    </row>
    <row r="51" spans="1:8" ht="26" customHeight="1">
      <c r="A51" s="1737" t="s">
        <v>519</v>
      </c>
      <c r="B51" s="1738"/>
      <c r="C51" s="1739"/>
      <c r="D51" s="1795" t="s">
        <v>131</v>
      </c>
      <c r="E51" s="1796"/>
      <c r="F51" s="1795" t="s">
        <v>340</v>
      </c>
      <c r="G51" s="1796"/>
      <c r="H51" s="709" t="s">
        <v>278</v>
      </c>
    </row>
    <row r="52" spans="1:8" ht="15.75" customHeight="1" thickBot="1">
      <c r="A52" s="1740"/>
      <c r="B52" s="1741"/>
      <c r="C52" s="1742"/>
      <c r="D52" s="1797">
        <v>40999</v>
      </c>
      <c r="E52" s="1798"/>
      <c r="F52" s="1799" t="str">
        <f>'Løntabel gældende fra'!D1</f>
        <v>01/04/2022</v>
      </c>
      <c r="G52" s="1798"/>
      <c r="H52" s="593" t="str">
        <f>'Løntabel gældende fra'!$D$1</f>
        <v>01/04/2022</v>
      </c>
    </row>
    <row r="53" spans="1:8" ht="15" customHeight="1" thickBot="1">
      <c r="A53" s="1743"/>
      <c r="B53" s="1744"/>
      <c r="C53" s="1745"/>
      <c r="D53" s="1793">
        <v>2000</v>
      </c>
      <c r="E53" s="1794"/>
      <c r="F53" s="1793">
        <f>ROUND(+D53*(1+'Løntabel gældende fra'!$D$7/100),2)</f>
        <v>2268.21</v>
      </c>
      <c r="G53" s="1794"/>
      <c r="H53" s="710">
        <f>ROUND(F53/12,2)</f>
        <v>189.02</v>
      </c>
    </row>
    <row r="54" spans="1:8" ht="31.5" customHeight="1" thickBot="1">
      <c r="A54" s="1107"/>
      <c r="B54" s="1107"/>
      <c r="C54" s="1107"/>
      <c r="D54" s="1107"/>
      <c r="E54" s="1107"/>
      <c r="F54" s="1107"/>
      <c r="G54" s="1107"/>
      <c r="H54" s="1107"/>
    </row>
    <row r="55" spans="1:8" ht="18">
      <c r="A55" s="1174" t="s">
        <v>227</v>
      </c>
      <c r="B55" s="1175"/>
      <c r="C55" s="1175"/>
      <c r="D55" s="1175"/>
      <c r="E55" s="1175"/>
      <c r="F55" s="1175"/>
      <c r="G55" s="1175"/>
      <c r="H55" s="1176"/>
    </row>
    <row r="56" spans="1:8" ht="20" customHeight="1" thickBot="1">
      <c r="A56" s="1263" t="s">
        <v>348</v>
      </c>
      <c r="B56" s="1264"/>
      <c r="C56" s="1264"/>
      <c r="D56" s="1264"/>
      <c r="E56" s="1264"/>
      <c r="F56" s="1264"/>
      <c r="G56" s="1264"/>
      <c r="H56" s="1265"/>
    </row>
    <row r="57" spans="1:8" ht="34.5" customHeight="1">
      <c r="A57" s="1737" t="s">
        <v>521</v>
      </c>
      <c r="B57" s="1738"/>
      <c r="C57" s="1738"/>
      <c r="D57" s="1738"/>
      <c r="E57" s="1738"/>
      <c r="F57" s="1739"/>
      <c r="G57" s="693" t="s">
        <v>101</v>
      </c>
      <c r="H57" s="696" t="s">
        <v>278</v>
      </c>
    </row>
    <row r="58" spans="1:8" ht="21" customHeight="1" thickBot="1">
      <c r="A58" s="1743"/>
      <c r="B58" s="1744"/>
      <c r="C58" s="1744"/>
      <c r="D58" s="1744"/>
      <c r="E58" s="1744"/>
      <c r="F58" s="1745"/>
      <c r="G58" s="593">
        <v>40999</v>
      </c>
      <c r="H58" s="610" t="str">
        <f>'Løntabel gældende fra'!$D$1</f>
        <v>01/04/2022</v>
      </c>
    </row>
    <row r="59" spans="1:8" ht="21" customHeight="1">
      <c r="A59" s="1746" t="s">
        <v>321</v>
      </c>
      <c r="B59" s="1747"/>
      <c r="C59" s="1747"/>
      <c r="D59" s="1747"/>
      <c r="E59" s="1747"/>
      <c r="F59" s="1748"/>
      <c r="G59" s="589">
        <v>540</v>
      </c>
      <c r="H59" s="611">
        <f>ROUND(G59+G59*'Løntabel gældende fra'!$D$7%,2)</f>
        <v>612.41999999999996</v>
      </c>
    </row>
    <row r="60" spans="1:8" ht="21" customHeight="1">
      <c r="A60" s="1782" t="s">
        <v>533</v>
      </c>
      <c r="B60" s="1783"/>
      <c r="C60" s="1784"/>
      <c r="D60" s="1788" t="s">
        <v>531</v>
      </c>
      <c r="E60" s="1788"/>
      <c r="F60" s="1789"/>
      <c r="G60" s="1041">
        <v>540</v>
      </c>
      <c r="H60" s="1040">
        <f>ROUND(G60+G60*'Løntabel gældende fra'!$D$7%,2)</f>
        <v>612.41999999999996</v>
      </c>
    </row>
    <row r="61" spans="1:8" ht="39" customHeight="1">
      <c r="A61" s="1746"/>
      <c r="B61" s="1747"/>
      <c r="C61" s="1785"/>
      <c r="D61" s="1786" t="s">
        <v>532</v>
      </c>
      <c r="E61" s="1786"/>
      <c r="F61" s="1787"/>
      <c r="G61" s="592">
        <v>270</v>
      </c>
      <c r="H61" s="1040">
        <f>ROUND(G61+G61*'Løntabel gældende fra'!$D$7%,2)</f>
        <v>306.20999999999998</v>
      </c>
    </row>
    <row r="62" spans="1:8" ht="20" customHeight="1" thickBot="1">
      <c r="A62" s="1749" t="s">
        <v>322</v>
      </c>
      <c r="B62" s="1750"/>
      <c r="C62" s="1750"/>
      <c r="D62" s="1750"/>
      <c r="E62" s="1750"/>
      <c r="F62" s="1751"/>
      <c r="G62" s="591">
        <v>666.67</v>
      </c>
      <c r="H62" s="612">
        <f>ROUND(G62+G62*'Løntabel gældende fra'!$D$7%,2)</f>
        <v>756.07</v>
      </c>
    </row>
    <row r="63" spans="1:8" ht="20" customHeight="1" thickBot="1">
      <c r="A63" s="277"/>
      <c r="B63" s="277"/>
      <c r="C63" s="277"/>
      <c r="D63" s="277"/>
      <c r="E63" s="277"/>
      <c r="F63" s="264"/>
      <c r="G63" s="264"/>
      <c r="H63" s="701"/>
    </row>
    <row r="64" spans="1:8" s="548" customFormat="1" ht="27" customHeight="1">
      <c r="A64" s="1174" t="s">
        <v>314</v>
      </c>
      <c r="B64" s="1175"/>
      <c r="C64" s="1175"/>
      <c r="D64" s="1175"/>
      <c r="E64" s="1175"/>
      <c r="F64" s="1175"/>
      <c r="G64" s="1175"/>
      <c r="H64" s="1176"/>
    </row>
    <row r="65" spans="1:9" ht="20" customHeight="1" thickBot="1">
      <c r="A65" s="1263" t="s">
        <v>312</v>
      </c>
      <c r="B65" s="1264"/>
      <c r="C65" s="1264"/>
      <c r="D65" s="1264"/>
      <c r="E65" s="1264"/>
      <c r="F65" s="1264"/>
      <c r="G65" s="1264"/>
      <c r="H65" s="1265"/>
    </row>
    <row r="66" spans="1:9" ht="20" customHeight="1">
      <c r="A66" s="706"/>
      <c r="B66" s="707"/>
      <c r="C66" s="707"/>
      <c r="D66" s="707"/>
      <c r="E66" s="707"/>
      <c r="F66" s="707"/>
      <c r="G66" s="709" t="s">
        <v>98</v>
      </c>
      <c r="H66" s="708" t="s">
        <v>103</v>
      </c>
    </row>
    <row r="67" spans="1:9" ht="15" customHeight="1" thickBot="1">
      <c r="A67" s="704"/>
      <c r="B67" s="705"/>
      <c r="C67" s="705"/>
      <c r="D67" s="705"/>
      <c r="E67" s="705"/>
      <c r="F67" s="705"/>
      <c r="G67" s="593">
        <v>40999</v>
      </c>
      <c r="H67" s="610" t="str">
        <f>'Løntabel gældende fra'!$D$1</f>
        <v>01/04/2022</v>
      </c>
    </row>
    <row r="68" spans="1:9" s="245" customFormat="1" ht="15.75" customHeight="1">
      <c r="A68" s="1691" t="s">
        <v>222</v>
      </c>
      <c r="B68" s="1692"/>
      <c r="C68" s="1692"/>
      <c r="D68" s="1692"/>
      <c r="E68" s="1692"/>
      <c r="F68" s="1037" t="s">
        <v>165</v>
      </c>
      <c r="G68" s="1038">
        <v>22.32</v>
      </c>
      <c r="H68" s="1039">
        <f>ROUND(G68+G68*'Løntabel gældende fra'!$D$7%,2)</f>
        <v>25.31</v>
      </c>
    </row>
    <row r="69" spans="1:9" ht="16.5" customHeight="1">
      <c r="A69" s="1752" t="s">
        <v>505</v>
      </c>
      <c r="B69" s="1753"/>
      <c r="C69" s="1753"/>
      <c r="D69" s="1753"/>
      <c r="E69" s="1753"/>
      <c r="F69" s="1741" t="s">
        <v>165</v>
      </c>
      <c r="G69" s="1735">
        <v>39.92</v>
      </c>
      <c r="H69" s="1725">
        <f>ROUND(G69+G69*'Løntabel gældende fra'!$D$7%,2)</f>
        <v>45.27</v>
      </c>
    </row>
    <row r="70" spans="1:9" ht="16" customHeight="1">
      <c r="A70" s="1754"/>
      <c r="B70" s="1755"/>
      <c r="C70" s="1755"/>
      <c r="D70" s="1755"/>
      <c r="E70" s="1755"/>
      <c r="F70" s="1780"/>
      <c r="G70" s="1736"/>
      <c r="H70" s="1726"/>
    </row>
    <row r="71" spans="1:9" s="245" customFormat="1" ht="16">
      <c r="A71" s="1687" t="s">
        <v>164</v>
      </c>
      <c r="B71" s="1688"/>
      <c r="C71" s="1688"/>
      <c r="D71" s="1688"/>
      <c r="E71" s="1688"/>
      <c r="F71" s="702" t="s">
        <v>165</v>
      </c>
      <c r="G71" s="592">
        <v>39.92</v>
      </c>
      <c r="H71" s="613">
        <f>ROUND(G71+G71*'Løntabel gældende fra'!$D$7%,2)</f>
        <v>45.27</v>
      </c>
    </row>
    <row r="72" spans="1:9" ht="16" customHeight="1">
      <c r="A72" s="1800" t="s">
        <v>240</v>
      </c>
      <c r="B72" s="1801"/>
      <c r="C72" s="1801"/>
      <c r="D72" s="1801"/>
      <c r="E72" s="1801"/>
      <c r="F72" s="699" t="s">
        <v>165</v>
      </c>
      <c r="G72" s="592">
        <v>39.92</v>
      </c>
      <c r="H72" s="613">
        <f>ROUND(G72+G72*'Løntabel gældende fra'!$D$7%,2)</f>
        <v>45.27</v>
      </c>
    </row>
    <row r="73" spans="1:9" ht="16">
      <c r="A73" s="1687" t="s">
        <v>420</v>
      </c>
      <c r="B73" s="1688"/>
      <c r="C73" s="1688"/>
      <c r="D73" s="1688"/>
      <c r="E73" s="1688"/>
      <c r="F73" s="702" t="s">
        <v>166</v>
      </c>
      <c r="G73" s="592">
        <v>39.92</v>
      </c>
      <c r="H73" s="613">
        <f>ROUND(G73+G73*'Løntabel gældende fra'!$D$7%,2)</f>
        <v>45.27</v>
      </c>
    </row>
    <row r="74" spans="1:9" ht="16">
      <c r="A74" s="1687" t="s">
        <v>421</v>
      </c>
      <c r="B74" s="1688"/>
      <c r="C74" s="1688"/>
      <c r="D74" s="1688"/>
      <c r="E74" s="1688"/>
      <c r="F74" s="702" t="s">
        <v>166</v>
      </c>
      <c r="G74" s="592">
        <v>91.84</v>
      </c>
      <c r="H74" s="613">
        <f>ROUND(G74+G74*'Løntabel gældende fra'!$D$7%,2)</f>
        <v>104.16</v>
      </c>
    </row>
    <row r="75" spans="1:9" ht="17" thickBot="1">
      <c r="A75" s="1689" t="s">
        <v>422</v>
      </c>
      <c r="B75" s="1690"/>
      <c r="C75" s="1690"/>
      <c r="D75" s="1690"/>
      <c r="E75" s="1690"/>
      <c r="F75" s="703" t="s">
        <v>165</v>
      </c>
      <c r="G75" s="591">
        <v>39.92</v>
      </c>
      <c r="H75" s="612">
        <f>ROUND(G75+G75*'Løntabel gældende fra'!$D$7%,2)</f>
        <v>45.27</v>
      </c>
    </row>
    <row r="76" spans="1:9" ht="15" thickBot="1">
      <c r="A76" s="277"/>
      <c r="B76" s="277"/>
      <c r="C76" s="277"/>
      <c r="D76" s="277"/>
      <c r="E76" s="277"/>
      <c r="F76" s="264"/>
      <c r="G76" s="264"/>
    </row>
    <row r="77" spans="1:9" s="548" customFormat="1" ht="27" customHeight="1" thickBot="1">
      <c r="A77" s="1773" t="s">
        <v>469</v>
      </c>
      <c r="B77" s="1774"/>
      <c r="C77" s="1774"/>
      <c r="D77" s="1774"/>
      <c r="E77" s="1774"/>
      <c r="F77" s="1774"/>
      <c r="G77" s="1774"/>
      <c r="H77" s="1775"/>
      <c r="I77" s="243"/>
    </row>
    <row r="78" spans="1:9" ht="16">
      <c r="A78" s="1716" t="s">
        <v>162</v>
      </c>
      <c r="B78" s="1717"/>
      <c r="C78" s="1717"/>
      <c r="D78" s="1718"/>
      <c r="E78" s="1781" t="s">
        <v>341</v>
      </c>
      <c r="F78" s="1781"/>
      <c r="G78" s="1697" t="s">
        <v>342</v>
      </c>
      <c r="H78" s="1698"/>
    </row>
    <row r="79" spans="1:9" ht="13" customHeight="1" thickBot="1">
      <c r="A79" s="1719"/>
      <c r="B79" s="1720"/>
      <c r="C79" s="1720"/>
      <c r="D79" s="1721"/>
      <c r="E79" s="1704">
        <v>40999</v>
      </c>
      <c r="F79" s="1705"/>
      <c r="G79" s="1695" t="str">
        <f>'Løntabel gældende fra'!$D$1</f>
        <v>01/04/2022</v>
      </c>
      <c r="H79" s="1696"/>
    </row>
    <row r="80" spans="1:9" ht="15" customHeight="1">
      <c r="A80" s="1713" t="s">
        <v>499</v>
      </c>
      <c r="B80" s="1714"/>
      <c r="C80" s="1714"/>
      <c r="D80" s="1715"/>
      <c r="E80" s="1706">
        <v>138.5</v>
      </c>
      <c r="F80" s="1703"/>
      <c r="G80" s="1702">
        <f>ROUND(+E80*(1+'Løntabel gældende fra'!$D$7/100),2)</f>
        <v>157.07</v>
      </c>
      <c r="H80" s="1703"/>
    </row>
    <row r="81" spans="1:8" ht="17" thickBot="1">
      <c r="A81" s="1709" t="s">
        <v>251</v>
      </c>
      <c r="B81" s="1710"/>
      <c r="C81" s="1710"/>
      <c r="D81" s="1711"/>
      <c r="E81" s="1707">
        <v>185</v>
      </c>
      <c r="F81" s="1708"/>
      <c r="G81" s="1693">
        <f>ROUND(+E81*(1+'Løntabel gældende fra'!$D$7/100),2)</f>
        <v>209.81</v>
      </c>
      <c r="H81" s="1694"/>
    </row>
    <row r="82" spans="1:8" ht="15" thickBot="1">
      <c r="A82" s="43"/>
      <c r="B82" s="43"/>
      <c r="C82" s="43"/>
      <c r="D82" s="234"/>
      <c r="E82" s="234"/>
      <c r="F82" s="234"/>
      <c r="G82" s="234"/>
    </row>
    <row r="83" spans="1:8" ht="19" thickBot="1">
      <c r="A83" s="1699" t="str">
        <f>"Unge under 18 år, pr. arbejdstime (60 minutter) pr. "&amp;'Løntabel gældende fra'!D1&amp;""</f>
        <v>Unge under 18 år, pr. arbejdstime (60 minutter) pr. 01/04/2022</v>
      </c>
      <c r="B83" s="1700"/>
      <c r="C83" s="1700"/>
      <c r="D83" s="1700"/>
      <c r="E83" s="1700"/>
      <c r="F83" s="1701"/>
    </row>
    <row r="84" spans="1:8" ht="19" customHeight="1" thickBot="1">
      <c r="A84" s="614" t="s">
        <v>157</v>
      </c>
      <c r="B84" s="615" t="s">
        <v>75</v>
      </c>
      <c r="C84" s="615" t="s">
        <v>76</v>
      </c>
      <c r="D84" s="615" t="s">
        <v>77</v>
      </c>
      <c r="E84" s="615" t="s">
        <v>78</v>
      </c>
      <c r="F84" s="616" t="s">
        <v>79</v>
      </c>
    </row>
    <row r="85" spans="1:8" ht="17">
      <c r="A85" s="675" t="s">
        <v>158</v>
      </c>
      <c r="B85" s="617">
        <f>0.66*B10/160.33</f>
        <v>91.325796794112151</v>
      </c>
      <c r="C85" s="618">
        <f>0.66*C10/160.33</f>
        <v>93.26397305557289</v>
      </c>
      <c r="D85" s="618">
        <f>0.66*D10/160.33</f>
        <v>94.606325703237061</v>
      </c>
      <c r="E85" s="618">
        <f>0.66*E10/160.33</f>
        <v>96.544172643921911</v>
      </c>
      <c r="F85" s="619">
        <f>0.66*F10/160.33</f>
        <v>97.886154805713204</v>
      </c>
    </row>
    <row r="86" spans="1:8" ht="17" thickBot="1">
      <c r="A86" s="609" t="s">
        <v>159</v>
      </c>
      <c r="B86" s="620">
        <f>0.74*B10/160.33</f>
        <v>102.3955903449136</v>
      </c>
      <c r="C86" s="621">
        <f>0.74*C10/160.33</f>
        <v>104.568697062309</v>
      </c>
      <c r="D86" s="621">
        <f>0.74*D10/160.33</f>
        <v>106.07375912181125</v>
      </c>
      <c r="E86" s="621">
        <f>0.74*E10/160.33</f>
        <v>108.24649660076091</v>
      </c>
      <c r="F86" s="622">
        <f>0.74*F10/160.33</f>
        <v>109.75114326701177</v>
      </c>
    </row>
    <row r="87" spans="1:8" ht="15" thickBot="1">
      <c r="A87" s="246"/>
      <c r="B87" s="247"/>
      <c r="C87" s="247"/>
      <c r="D87" s="247"/>
      <c r="E87" s="247"/>
      <c r="F87" s="247"/>
    </row>
    <row r="88" spans="1:8" ht="16.5" customHeight="1" thickBot="1">
      <c r="A88" s="1773" t="s">
        <v>160</v>
      </c>
      <c r="B88" s="1774"/>
      <c r="C88" s="1774"/>
      <c r="D88" s="1774"/>
      <c r="E88" s="1774"/>
      <c r="F88" s="1774"/>
      <c r="G88" s="1775"/>
    </row>
    <row r="89" spans="1:8" ht="18.75" customHeight="1">
      <c r="A89" s="1716" t="s">
        <v>161</v>
      </c>
      <c r="B89" s="1717"/>
      <c r="C89" s="1718"/>
      <c r="D89" s="1697" t="s">
        <v>101</v>
      </c>
      <c r="E89" s="1698"/>
      <c r="F89" s="1697" t="s">
        <v>278</v>
      </c>
      <c r="G89" s="1698"/>
    </row>
    <row r="90" spans="1:8" ht="17" thickBot="1">
      <c r="A90" s="1719"/>
      <c r="B90" s="1720"/>
      <c r="C90" s="1721"/>
      <c r="D90" s="1695">
        <v>40999</v>
      </c>
      <c r="E90" s="1712"/>
      <c r="F90" s="1695" t="str">
        <f>'Løntabel gældende fra'!$D$1</f>
        <v>01/04/2022</v>
      </c>
      <c r="G90" s="1696"/>
    </row>
    <row r="91" spans="1:8" ht="16">
      <c r="A91" s="1713" t="s">
        <v>303</v>
      </c>
      <c r="B91" s="1714"/>
      <c r="C91" s="1715"/>
      <c r="D91" s="1706">
        <v>10704</v>
      </c>
      <c r="E91" s="1703"/>
      <c r="F91" s="1702">
        <f>ROUND(+D91*(1+'Løntabel gældende fra'!$D$7/100),2)</f>
        <v>12139.45</v>
      </c>
      <c r="G91" s="1703">
        <f>+E91*(1+'Løntabel gældende fra'!$D$7/100)</f>
        <v>0</v>
      </c>
    </row>
    <row r="92" spans="1:8" ht="17" thickBot="1">
      <c r="A92" s="1709" t="s">
        <v>304</v>
      </c>
      <c r="B92" s="1710"/>
      <c r="C92" s="1711"/>
      <c r="D92" s="1707">
        <v>11039</v>
      </c>
      <c r="E92" s="1708"/>
      <c r="F92" s="1693">
        <f>ROUND(+D92*(1+'Løntabel gældende fra'!$D$7/100),2)</f>
        <v>12519.37</v>
      </c>
      <c r="G92" s="1694">
        <f>+E92*(1+'Løntabel gældende fra'!$D$7/100)</f>
        <v>0</v>
      </c>
    </row>
    <row r="93" spans="1:8" ht="16">
      <c r="A93" s="623"/>
      <c r="B93" s="624"/>
      <c r="C93" s="624"/>
      <c r="D93" s="624"/>
      <c r="E93" s="624"/>
      <c r="F93" s="624"/>
      <c r="G93" s="625"/>
      <c r="H93" s="244"/>
    </row>
    <row r="94" spans="1:8">
      <c r="F94" s="244"/>
    </row>
    <row r="95" spans="1:8">
      <c r="A95" s="253"/>
      <c r="B95" s="253"/>
      <c r="C95" s="253"/>
      <c r="H95" s="245"/>
    </row>
    <row r="96" spans="1:8">
      <c r="A96" s="245"/>
      <c r="B96" s="245"/>
      <c r="C96" s="245"/>
      <c r="D96" s="245"/>
      <c r="E96" s="245"/>
      <c r="F96" s="245"/>
      <c r="G96" s="245"/>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3" customWidth="1"/>
    <col min="2" max="3" width="11.1640625" style="223" customWidth="1"/>
    <col min="4" max="4" width="11.33203125" style="223" customWidth="1"/>
    <col min="5" max="6" width="10.6640625" style="223" customWidth="1"/>
    <col min="7" max="7" width="10.1640625" style="223" customWidth="1"/>
    <col min="8" max="8" width="10.83203125" style="223" customWidth="1"/>
    <col min="9" max="9" width="11.1640625" style="223" customWidth="1"/>
    <col min="10" max="10" width="9.1640625" style="223" customWidth="1"/>
    <col min="11" max="16384" width="8.83203125" style="223"/>
  </cols>
  <sheetData>
    <row r="1" spans="1:16" ht="20">
      <c r="A1" s="1266" t="s">
        <v>19</v>
      </c>
      <c r="B1" s="1267"/>
      <c r="C1" s="1267"/>
      <c r="D1" s="1267"/>
      <c r="E1" s="1267"/>
      <c r="F1" s="1267"/>
      <c r="G1" s="1267"/>
      <c r="H1" s="1267"/>
      <c r="I1" s="1267"/>
      <c r="J1" s="1268"/>
    </row>
    <row r="2" spans="1:16" ht="20">
      <c r="A2" s="1825" t="s">
        <v>190</v>
      </c>
      <c r="B2" s="1826"/>
      <c r="C2" s="1826"/>
      <c r="D2" s="1826"/>
      <c r="E2" s="1826"/>
      <c r="F2" s="1826"/>
      <c r="G2" s="1826"/>
      <c r="H2" s="1826"/>
      <c r="I2" s="1826"/>
      <c r="J2" s="1827"/>
    </row>
    <row r="3" spans="1:16" ht="21" thickBot="1">
      <c r="A3" s="1758" t="s">
        <v>224</v>
      </c>
      <c r="B3" s="1759"/>
      <c r="C3" s="1759"/>
      <c r="D3" s="1759"/>
      <c r="E3" s="1759"/>
      <c r="F3" s="1759"/>
      <c r="G3" s="1759"/>
      <c r="H3" s="1759"/>
      <c r="I3" s="1759"/>
      <c r="J3" s="1760"/>
    </row>
    <row r="4" spans="1:16" ht="23">
      <c r="A4" s="1831"/>
      <c r="B4" s="1832"/>
      <c r="C4" s="1832"/>
      <c r="D4" s="1832"/>
      <c r="E4" s="1832"/>
      <c r="F4" s="1832"/>
      <c r="G4" s="1832"/>
      <c r="H4" s="1832"/>
      <c r="I4" s="1832"/>
      <c r="J4" s="243"/>
    </row>
    <row r="5" spans="1:16" ht="47.25" customHeight="1">
      <c r="A5" s="1084" t="s">
        <v>242</v>
      </c>
      <c r="B5" s="1085"/>
      <c r="C5" s="1085"/>
      <c r="D5" s="1085"/>
      <c r="E5" s="1085"/>
      <c r="F5" s="1085"/>
      <c r="G5" s="1085"/>
      <c r="H5" s="1085"/>
      <c r="I5" s="1085"/>
      <c r="J5" s="243"/>
    </row>
    <row r="6" spans="1:16" ht="8" customHeight="1">
      <c r="A6" s="267"/>
      <c r="B6" s="267"/>
      <c r="C6" s="267"/>
      <c r="D6" s="267"/>
      <c r="E6" s="267"/>
      <c r="F6" s="267"/>
      <c r="G6" s="267"/>
      <c r="H6" s="267"/>
      <c r="I6" s="267"/>
      <c r="J6" s="243"/>
      <c r="L6" s="254"/>
      <c r="M6" s="253"/>
      <c r="N6" s="253"/>
      <c r="O6" s="253"/>
      <c r="P6" s="253"/>
    </row>
    <row r="7" spans="1:16" ht="18" customHeight="1" thickBot="1">
      <c r="A7" s="267"/>
      <c r="B7" s="267"/>
      <c r="C7" s="267"/>
      <c r="D7" s="267"/>
      <c r="E7" s="267"/>
      <c r="F7" s="267"/>
      <c r="G7" s="267"/>
      <c r="H7" s="267"/>
      <c r="I7" s="267"/>
      <c r="J7" s="243"/>
      <c r="L7" s="254"/>
      <c r="M7" s="253"/>
      <c r="N7" s="253"/>
      <c r="O7" s="253"/>
      <c r="P7" s="253"/>
    </row>
    <row r="8" spans="1:16" ht="19" thickBot="1">
      <c r="A8" s="1828" t="s">
        <v>15</v>
      </c>
      <c r="B8" s="1829"/>
      <c r="C8" s="1829"/>
      <c r="D8" s="1829"/>
      <c r="E8" s="1829"/>
      <c r="F8" s="1830"/>
      <c r="G8" s="1699" t="s">
        <v>168</v>
      </c>
      <c r="H8" s="1700"/>
      <c r="I8" s="1700"/>
      <c r="J8" s="1701"/>
      <c r="L8" s="254"/>
      <c r="M8" s="253"/>
      <c r="N8" s="253"/>
      <c r="O8" s="253"/>
      <c r="P8" s="253"/>
    </row>
    <row r="9" spans="1:16" ht="42">
      <c r="A9" s="470" t="s">
        <v>57</v>
      </c>
      <c r="B9" s="470" t="s">
        <v>75</v>
      </c>
      <c r="C9" s="473" t="s">
        <v>76</v>
      </c>
      <c r="D9" s="470" t="s">
        <v>77</v>
      </c>
      <c r="E9" s="470" t="s">
        <v>78</v>
      </c>
      <c r="F9" s="470" t="s">
        <v>79</v>
      </c>
      <c r="G9" s="474" t="s">
        <v>185</v>
      </c>
      <c r="H9" s="475" t="s">
        <v>187</v>
      </c>
      <c r="I9" s="475" t="s">
        <v>188</v>
      </c>
      <c r="J9" s="476">
        <v>0.14000000000000001</v>
      </c>
    </row>
    <row r="10" spans="1:16" ht="15" customHeight="1">
      <c r="A10" s="383" t="s">
        <v>230</v>
      </c>
      <c r="B10" s="294">
        <f>+'Statens skalatrin'!D46+F24/12</f>
        <v>21696.203460666668</v>
      </c>
      <c r="C10" s="295">
        <f>+'Statens skalatrin'!F46+F24/12</f>
        <v>22144.123460666666</v>
      </c>
      <c r="D10" s="296">
        <f>+'Statens skalatrin'!H46+F24/12</f>
        <v>22454.203460666668</v>
      </c>
      <c r="E10" s="294">
        <f>+'Statens skalatrin'!J46+F24/12</f>
        <v>22902.123460666666</v>
      </c>
      <c r="F10" s="294">
        <f>+'Statens skalatrin'!L46+F24/12</f>
        <v>23212.203460666668</v>
      </c>
      <c r="G10" s="297">
        <f>+'Statens skalatrin'!O46+F24/12</f>
        <v>20297.273460666667</v>
      </c>
      <c r="H10" s="298">
        <f>J10*1/3</f>
        <v>947.20609483111127</v>
      </c>
      <c r="I10" s="299">
        <f>J10*2/3</f>
        <v>1894.4121896622225</v>
      </c>
      <c r="J10" s="299">
        <f>G10*$J$9</f>
        <v>2841.6182844933337</v>
      </c>
    </row>
    <row r="11" spans="1:16" ht="15" customHeight="1">
      <c r="A11" s="306">
        <v>17</v>
      </c>
      <c r="B11" s="294">
        <f>+'Statens skalatrin'!D55</f>
        <v>22588.080000000002</v>
      </c>
      <c r="C11" s="295">
        <f>+'Statens skalatrin'!F55</f>
        <v>23070.92</v>
      </c>
      <c r="D11" s="296">
        <f>+'Statens skalatrin'!H55</f>
        <v>23405.17</v>
      </c>
      <c r="E11" s="294">
        <f>'Statens skalatrin'!J55</f>
        <v>23887.919999999998</v>
      </c>
      <c r="F11" s="294">
        <f>+'Statens skalatrin'!L55</f>
        <v>24222</v>
      </c>
      <c r="G11" s="297">
        <f>+'Statens skalatrin'!O55</f>
        <v>21214.74</v>
      </c>
      <c r="H11" s="298">
        <f>J11*1/3</f>
        <v>990.02120000000014</v>
      </c>
      <c r="I11" s="299">
        <f>J11*2/3</f>
        <v>1980.0424000000003</v>
      </c>
      <c r="J11" s="299">
        <f>G11*$J$9</f>
        <v>2970.0636000000004</v>
      </c>
    </row>
    <row r="12" spans="1:16" ht="17" customHeight="1" thickBot="1">
      <c r="A12" s="307" t="s">
        <v>169</v>
      </c>
      <c r="B12" s="300">
        <f>+'Statens skalatrin'!D64+F25/12</f>
        <v>23684.52780133333</v>
      </c>
      <c r="C12" s="301">
        <f>+'Statens skalatrin'!F64+F25/12</f>
        <v>24205.02780133333</v>
      </c>
      <c r="D12" s="302">
        <f>+'Statens skalatrin'!H64+F25/12</f>
        <v>24565.437801333333</v>
      </c>
      <c r="E12" s="300">
        <f>+'Statens skalatrin'!J64+F25/12</f>
        <v>25086.02780133333</v>
      </c>
      <c r="F12" s="300">
        <f>+'Statens skalatrin'!L64+F25/12</f>
        <v>25446.27780133333</v>
      </c>
      <c r="G12" s="303">
        <f>+'Statens skalatrin'!O64+F25/12</f>
        <v>22463.157801333331</v>
      </c>
      <c r="H12" s="304">
        <f>J12*1/3</f>
        <v>1048.2806973955555</v>
      </c>
      <c r="I12" s="305">
        <f>J12*2/3</f>
        <v>2096.5613947911111</v>
      </c>
      <c r="J12" s="305">
        <f>G12*$J$9</f>
        <v>3144.8420921866668</v>
      </c>
    </row>
    <row r="13" spans="1:16" ht="17" customHeight="1">
      <c r="A13" s="253" t="s">
        <v>243</v>
      </c>
      <c r="B13" s="247"/>
      <c r="C13" s="247"/>
      <c r="D13" s="247"/>
      <c r="E13" s="247"/>
      <c r="F13" s="247"/>
      <c r="G13" s="271"/>
      <c r="H13" s="272"/>
      <c r="I13" s="273"/>
      <c r="J13" s="273"/>
    </row>
    <row r="14" spans="1:16" ht="16" customHeight="1" thickBot="1">
      <c r="A14" s="268"/>
      <c r="B14" s="268"/>
      <c r="C14" s="268"/>
      <c r="D14" s="268"/>
      <c r="E14" s="268"/>
      <c r="F14" s="268"/>
      <c r="G14" s="268"/>
      <c r="H14" s="268"/>
      <c r="I14" s="268"/>
      <c r="J14" s="243"/>
      <c r="L14" s="270"/>
    </row>
    <row r="15" spans="1:16" ht="16" customHeight="1" thickBot="1">
      <c r="A15" s="1699" t="s">
        <v>170</v>
      </c>
      <c r="B15" s="1700"/>
      <c r="C15" s="1700"/>
      <c r="D15" s="1700"/>
      <c r="E15" s="1700"/>
      <c r="F15" s="1701"/>
      <c r="G15" s="253"/>
      <c r="H15" s="253"/>
      <c r="I15" s="253"/>
      <c r="J15" s="243"/>
      <c r="L15" s="270"/>
    </row>
    <row r="16" spans="1:16" ht="16" customHeight="1" thickBot="1">
      <c r="A16" s="257" t="s">
        <v>171</v>
      </c>
      <c r="B16" s="258"/>
      <c r="C16" s="258"/>
      <c r="D16" s="258"/>
      <c r="E16" s="258"/>
      <c r="F16" s="259"/>
      <c r="G16" s="253"/>
      <c r="H16" s="253"/>
      <c r="I16" s="253"/>
      <c r="J16" s="243"/>
      <c r="L16" s="270"/>
    </row>
    <row r="17" spans="1:10" ht="16" customHeight="1">
      <c r="A17" s="470" t="s">
        <v>57</v>
      </c>
      <c r="B17" s="471" t="s">
        <v>75</v>
      </c>
      <c r="C17" s="470" t="s">
        <v>76</v>
      </c>
      <c r="D17" s="471" t="s">
        <v>77</v>
      </c>
      <c r="E17" s="470" t="s">
        <v>78</v>
      </c>
      <c r="F17" s="472" t="s">
        <v>79</v>
      </c>
      <c r="G17" s="253"/>
      <c r="H17" s="253"/>
      <c r="I17" s="253"/>
      <c r="J17" s="243"/>
    </row>
    <row r="18" spans="1:10" ht="16" customHeight="1" thickBot="1">
      <c r="A18" s="311">
        <v>14</v>
      </c>
      <c r="B18" s="308">
        <f>B10*12/1924</f>
        <v>135.31935630353431</v>
      </c>
      <c r="C18" s="309">
        <f>C10*12/1924</f>
        <v>138.11303613721412</v>
      </c>
      <c r="D18" s="308">
        <f>D10*12/1924</f>
        <v>140.04700703118502</v>
      </c>
      <c r="E18" s="309">
        <f>E10*12/1924</f>
        <v>142.84068686486486</v>
      </c>
      <c r="F18" s="310">
        <f>F10*12/1924</f>
        <v>144.77465775883576</v>
      </c>
      <c r="G18" s="253"/>
      <c r="H18" s="252"/>
      <c r="I18" s="252"/>
      <c r="J18" s="243"/>
    </row>
    <row r="19" spans="1:10" ht="15" customHeight="1">
      <c r="A19" s="262"/>
      <c r="B19" s="261"/>
      <c r="C19" s="261"/>
      <c r="D19" s="261"/>
      <c r="E19" s="261"/>
      <c r="F19" s="261"/>
      <c r="G19" s="253"/>
      <c r="H19" s="252"/>
      <c r="I19" s="252"/>
      <c r="J19" s="243"/>
    </row>
    <row r="20" spans="1:10" ht="13" customHeight="1" thickBot="1">
      <c r="A20" s="262"/>
      <c r="B20" s="261"/>
      <c r="C20" s="261"/>
      <c r="D20" s="261"/>
      <c r="E20" s="261"/>
      <c r="F20" s="261"/>
      <c r="G20" s="253"/>
      <c r="H20" s="252"/>
      <c r="I20" s="252"/>
      <c r="J20" s="243"/>
    </row>
    <row r="21" spans="1:10" ht="15" customHeight="1" thickBot="1">
      <c r="A21" s="1174" t="s">
        <v>163</v>
      </c>
      <c r="B21" s="1175"/>
      <c r="C21" s="1175"/>
      <c r="D21" s="1175"/>
      <c r="E21" s="1175"/>
      <c r="F21" s="1176"/>
      <c r="G21" s="217"/>
      <c r="H21" s="217"/>
      <c r="I21" s="217"/>
      <c r="J21" s="243"/>
    </row>
    <row r="22" spans="1:10" ht="15" customHeight="1">
      <c r="A22" s="1802" t="s">
        <v>182</v>
      </c>
      <c r="B22" s="1803"/>
      <c r="C22" s="1803"/>
      <c r="D22" s="1803"/>
      <c r="E22" s="464" t="s">
        <v>98</v>
      </c>
      <c r="F22" s="468" t="s">
        <v>103</v>
      </c>
      <c r="G22" s="264"/>
      <c r="H22" s="253"/>
      <c r="I22" s="253"/>
      <c r="J22" s="243"/>
    </row>
    <row r="23" spans="1:10" ht="15" customHeight="1" thickBot="1">
      <c r="A23" s="1805"/>
      <c r="B23" s="1806"/>
      <c r="C23" s="1806"/>
      <c r="D23" s="1806"/>
      <c r="E23" s="466">
        <v>40999</v>
      </c>
      <c r="F23" s="469" t="str">
        <f>'Løntabel gældende fra'!$D$1</f>
        <v>01/04/2022</v>
      </c>
      <c r="G23" s="264"/>
      <c r="H23" s="253"/>
      <c r="I23" s="253"/>
      <c r="J23" s="243"/>
    </row>
    <row r="24" spans="1:10" ht="15" customHeight="1" thickBot="1">
      <c r="A24" s="1835" t="s">
        <v>229</v>
      </c>
      <c r="B24" s="1836"/>
      <c r="C24" s="1836"/>
      <c r="D24" s="444"/>
      <c r="E24" s="320">
        <v>1957</v>
      </c>
      <c r="F24" s="312">
        <f>E24+E24*'Løntabel gældende fra'!$D$7%</f>
        <v>2219.4415279999998</v>
      </c>
      <c r="G24" s="264"/>
      <c r="H24" s="253"/>
      <c r="I24" s="253"/>
      <c r="J24" s="243"/>
    </row>
    <row r="25" spans="1:10" ht="15" customHeight="1" thickBot="1">
      <c r="A25" s="1833" t="s">
        <v>183</v>
      </c>
      <c r="B25" s="1834"/>
      <c r="C25" s="1834"/>
      <c r="D25" s="445"/>
      <c r="E25" s="320">
        <v>554</v>
      </c>
      <c r="F25" s="312">
        <f>E25+E25*'Løntabel gældende fra'!$D$7%</f>
        <v>628.29361600000004</v>
      </c>
      <c r="G25" s="264"/>
      <c r="H25" s="253"/>
      <c r="I25" s="253"/>
      <c r="J25" s="243"/>
    </row>
    <row r="26" spans="1:10" ht="15" customHeight="1">
      <c r="A26" s="263"/>
      <c r="B26" s="261"/>
      <c r="C26" s="261"/>
      <c r="D26" s="261"/>
      <c r="E26" s="261"/>
      <c r="F26" s="261"/>
      <c r="G26" s="253"/>
      <c r="H26" s="253"/>
      <c r="I26" s="253"/>
      <c r="J26" s="243"/>
    </row>
    <row r="27" spans="1:10" ht="15" customHeight="1" thickBot="1">
      <c r="A27" s="263"/>
      <c r="B27" s="261"/>
      <c r="C27" s="261"/>
      <c r="D27" s="261"/>
      <c r="E27" s="261"/>
      <c r="F27" s="261"/>
      <c r="G27" s="253"/>
      <c r="H27" s="253"/>
      <c r="I27" s="253"/>
      <c r="J27" s="243"/>
    </row>
    <row r="28" spans="1:10" ht="15" customHeight="1" thickBot="1">
      <c r="A28" s="1174" t="s">
        <v>172</v>
      </c>
      <c r="B28" s="1175"/>
      <c r="C28" s="1175"/>
      <c r="D28" s="1175"/>
      <c r="E28" s="1175"/>
      <c r="F28" s="1175"/>
      <c r="G28" s="1175"/>
      <c r="H28" s="1175"/>
      <c r="I28" s="1176"/>
      <c r="J28" s="243"/>
    </row>
    <row r="29" spans="1:10" ht="15" customHeight="1" thickBot="1">
      <c r="A29" s="1810"/>
      <c r="B29" s="1811"/>
      <c r="C29" s="1811"/>
      <c r="D29" s="1811"/>
      <c r="E29" s="1811"/>
      <c r="F29" s="1811"/>
      <c r="G29" s="1811"/>
      <c r="H29" s="464" t="s">
        <v>98</v>
      </c>
      <c r="I29" s="465" t="s">
        <v>103</v>
      </c>
      <c r="J29" s="243"/>
    </row>
    <row r="30" spans="1:10" ht="15" customHeight="1" thickBot="1">
      <c r="A30" s="1812"/>
      <c r="B30" s="1813"/>
      <c r="C30" s="1813"/>
      <c r="D30" s="1813"/>
      <c r="E30" s="1813"/>
      <c r="F30" s="1813"/>
      <c r="G30" s="1814"/>
      <c r="H30" s="466">
        <v>40999</v>
      </c>
      <c r="I30" s="467" t="str">
        <f>'Løntabel gældende fra'!$D$1</f>
        <v>01/04/2022</v>
      </c>
      <c r="J30" s="243"/>
    </row>
    <row r="31" spans="1:10" ht="15" customHeight="1">
      <c r="A31" s="1815" t="s">
        <v>173</v>
      </c>
      <c r="B31" s="1816"/>
      <c r="C31" s="1816"/>
      <c r="D31" s="1816"/>
      <c r="E31" s="1816"/>
      <c r="F31" s="248"/>
      <c r="G31" s="250" t="s">
        <v>165</v>
      </c>
      <c r="H31" s="313">
        <v>22.32</v>
      </c>
      <c r="I31" s="314">
        <f>H31+H31*'Løntabel gældende fra'!$D$7%</f>
        <v>25.313201280000001</v>
      </c>
      <c r="J31" s="243"/>
    </row>
    <row r="32" spans="1:10" ht="15" customHeight="1">
      <c r="A32" s="1823" t="s">
        <v>174</v>
      </c>
      <c r="B32" s="1824"/>
      <c r="C32" s="1824"/>
      <c r="D32" s="1824"/>
      <c r="E32" s="1824"/>
      <c r="F32" s="269"/>
      <c r="G32" s="251" t="s">
        <v>165</v>
      </c>
      <c r="H32" s="315">
        <v>39.921999999999997</v>
      </c>
      <c r="I32" s="316">
        <f>H32+H32*'Løntabel gældende fra'!$D$7%</f>
        <v>45.275699887999998</v>
      </c>
      <c r="J32" s="243"/>
    </row>
    <row r="33" spans="1:10" ht="26" customHeight="1">
      <c r="A33" s="1815" t="s">
        <v>175</v>
      </c>
      <c r="B33" s="1816"/>
      <c r="C33" s="1816"/>
      <c r="D33" s="1816"/>
      <c r="E33" s="1816"/>
      <c r="F33" s="1816"/>
      <c r="G33" s="251" t="s">
        <v>165</v>
      </c>
      <c r="H33" s="315">
        <v>39.92</v>
      </c>
      <c r="I33" s="316">
        <f>H33+H33*'Løntabel gældende fra'!$D$7%</f>
        <v>45.273431680000002</v>
      </c>
      <c r="J33" s="243"/>
    </row>
    <row r="34" spans="1:10" ht="15" customHeight="1" thickBot="1">
      <c r="A34" s="282" t="s">
        <v>164</v>
      </c>
      <c r="B34" s="281"/>
      <c r="C34" s="281"/>
      <c r="D34" s="281"/>
      <c r="E34" s="265"/>
      <c r="F34" s="265"/>
      <c r="G34" s="276" t="s">
        <v>165</v>
      </c>
      <c r="H34" s="317">
        <v>39.921999999999997</v>
      </c>
      <c r="I34" s="318">
        <f>H34+H34*'Løntabel gældende fra'!$D$7%</f>
        <v>45.275699887999998</v>
      </c>
      <c r="J34" s="243"/>
    </row>
    <row r="35" spans="1:10" ht="15" customHeight="1">
      <c r="A35" s="275"/>
      <c r="B35" s="275"/>
      <c r="C35" s="275"/>
      <c r="D35" s="275"/>
      <c r="E35" s="275"/>
      <c r="F35" s="275"/>
      <c r="G35" s="275"/>
      <c r="H35" s="234"/>
      <c r="I35" s="274"/>
      <c r="J35" s="243"/>
    </row>
    <row r="36" spans="1:10" ht="15" customHeight="1" thickBot="1">
      <c r="A36" s="275"/>
      <c r="B36" s="275"/>
      <c r="C36" s="275"/>
      <c r="D36" s="275"/>
      <c r="E36" s="275"/>
      <c r="F36" s="275"/>
      <c r="G36" s="275"/>
      <c r="H36" s="234"/>
      <c r="I36" s="274"/>
      <c r="J36" s="243"/>
    </row>
    <row r="37" spans="1:10" ht="15" customHeight="1" thickBot="1">
      <c r="A37" s="1174" t="s">
        <v>176</v>
      </c>
      <c r="B37" s="1175"/>
      <c r="C37" s="1175"/>
      <c r="D37" s="1175"/>
      <c r="E37" s="1175"/>
      <c r="F37" s="1175"/>
      <c r="G37" s="1175"/>
      <c r="H37" s="1175"/>
      <c r="I37" s="1176"/>
      <c r="J37" s="253"/>
    </row>
    <row r="38" spans="1:10" ht="15" customHeight="1" thickBot="1">
      <c r="A38" s="1810"/>
      <c r="B38" s="1811"/>
      <c r="C38" s="1811"/>
      <c r="D38" s="1811"/>
      <c r="E38" s="1811"/>
      <c r="F38" s="1811"/>
      <c r="G38" s="1811"/>
      <c r="H38" s="464" t="s">
        <v>98</v>
      </c>
      <c r="I38" s="465" t="s">
        <v>103</v>
      </c>
      <c r="J38" s="253"/>
    </row>
    <row r="39" spans="1:10" ht="15" customHeight="1" thickBot="1">
      <c r="A39" s="1812"/>
      <c r="B39" s="1813"/>
      <c r="C39" s="1813"/>
      <c r="D39" s="1813"/>
      <c r="E39" s="1813"/>
      <c r="F39" s="1813"/>
      <c r="G39" s="1814"/>
      <c r="H39" s="466">
        <v>40999</v>
      </c>
      <c r="I39" s="467" t="str">
        <f>'Løntabel gældende fra'!$D$1</f>
        <v>01/04/2022</v>
      </c>
      <c r="J39" s="253"/>
    </row>
    <row r="40" spans="1:10" ht="15" customHeight="1" thickBot="1">
      <c r="A40" s="1808" t="s">
        <v>177</v>
      </c>
      <c r="B40" s="1809"/>
      <c r="C40" s="1809"/>
      <c r="D40" s="1809"/>
      <c r="E40" s="1809"/>
      <c r="F40" s="249"/>
      <c r="G40" s="260" t="s">
        <v>165</v>
      </c>
      <c r="H40" s="319">
        <v>6.88</v>
      </c>
      <c r="I40" s="312">
        <f>H40+H40*'Løntabel gældende fra'!$D$7%</f>
        <v>7.8026355199999999</v>
      </c>
      <c r="J40" s="253"/>
    </row>
    <row r="41" spans="1:10" ht="15" customHeight="1">
      <c r="A41" s="243"/>
      <c r="B41" s="243"/>
      <c r="C41" s="243"/>
      <c r="D41" s="243"/>
      <c r="E41" s="243"/>
      <c r="F41" s="244"/>
      <c r="G41" s="243"/>
      <c r="H41" s="244"/>
      <c r="I41" s="243"/>
      <c r="J41" s="253"/>
    </row>
    <row r="42" spans="1:10" ht="15" customHeight="1" thickBot="1">
      <c r="A42" s="243"/>
      <c r="B42" s="243"/>
      <c r="C42" s="243"/>
      <c r="D42" s="243"/>
      <c r="E42" s="243"/>
      <c r="F42" s="244"/>
      <c r="G42" s="243"/>
      <c r="H42" s="244"/>
      <c r="I42" s="243"/>
      <c r="J42" s="253"/>
    </row>
    <row r="43" spans="1:10" ht="15" customHeight="1" thickBot="1">
      <c r="A43" s="1174" t="s">
        <v>178</v>
      </c>
      <c r="B43" s="1175"/>
      <c r="C43" s="1175"/>
      <c r="D43" s="1175"/>
      <c r="E43" s="1175"/>
      <c r="F43" s="1175"/>
      <c r="G43" s="1175"/>
      <c r="H43" s="1175"/>
      <c r="I43" s="1176"/>
      <c r="J43" s="253"/>
    </row>
    <row r="44" spans="1:10" ht="15" customHeight="1">
      <c r="A44" s="1817"/>
      <c r="B44" s="1818"/>
      <c r="C44" s="1818"/>
      <c r="D44" s="1818"/>
      <c r="E44" s="1818"/>
      <c r="F44" s="1818"/>
      <c r="G44" s="1819"/>
      <c r="H44" s="464" t="s">
        <v>98</v>
      </c>
      <c r="I44" s="465" t="s">
        <v>103</v>
      </c>
      <c r="J44" s="253"/>
    </row>
    <row r="45" spans="1:10" ht="15" customHeight="1" thickBot="1">
      <c r="A45" s="1820"/>
      <c r="B45" s="1821"/>
      <c r="C45" s="1821"/>
      <c r="D45" s="1821"/>
      <c r="E45" s="1821"/>
      <c r="F45" s="1821"/>
      <c r="G45" s="1822"/>
      <c r="H45" s="466">
        <v>40999</v>
      </c>
      <c r="I45" s="467" t="str">
        <f>'Løntabel gældende fra'!$D$1</f>
        <v>01/04/2022</v>
      </c>
      <c r="J45" s="253"/>
    </row>
    <row r="46" spans="1:10" ht="15" customHeight="1" thickBot="1">
      <c r="A46" s="1808" t="s">
        <v>191</v>
      </c>
      <c r="B46" s="1809"/>
      <c r="C46" s="1809"/>
      <c r="D46" s="1809"/>
      <c r="E46" s="1809"/>
      <c r="F46" s="249"/>
      <c r="G46" s="260"/>
      <c r="H46" s="319">
        <v>655</v>
      </c>
      <c r="I46" s="312">
        <f>H46+H46*'Løntabel gældende fra'!$D$7%</f>
        <v>742.83812</v>
      </c>
      <c r="J46" s="253"/>
    </row>
    <row r="47" spans="1:10" ht="15" customHeight="1">
      <c r="A47" s="243"/>
      <c r="B47" s="243"/>
      <c r="C47" s="243"/>
      <c r="D47" s="243"/>
      <c r="E47" s="243"/>
      <c r="F47" s="244"/>
      <c r="G47" s="243"/>
      <c r="H47" s="244"/>
      <c r="I47" s="243"/>
      <c r="J47" s="253"/>
    </row>
    <row r="48" spans="1:10" ht="15" customHeight="1" thickBot="1">
      <c r="A48" s="243"/>
      <c r="B48" s="243"/>
      <c r="C48" s="243"/>
      <c r="D48" s="243"/>
      <c r="E48" s="243"/>
      <c r="F48" s="244"/>
      <c r="G48" s="243"/>
      <c r="H48" s="244"/>
      <c r="I48" s="243"/>
      <c r="J48" s="253"/>
    </row>
    <row r="49" spans="1:10" ht="15" customHeight="1" thickBot="1">
      <c r="A49" s="1174" t="s">
        <v>179</v>
      </c>
      <c r="B49" s="1175"/>
      <c r="C49" s="1175"/>
      <c r="D49" s="1175"/>
      <c r="E49" s="1175"/>
      <c r="F49" s="1175"/>
      <c r="G49" s="1175"/>
      <c r="H49" s="1175"/>
      <c r="I49" s="1176"/>
      <c r="J49" s="253"/>
    </row>
    <row r="50" spans="1:10" ht="15" customHeight="1">
      <c r="A50" s="1802" t="s">
        <v>181</v>
      </c>
      <c r="B50" s="1803"/>
      <c r="C50" s="1803"/>
      <c r="D50" s="1803"/>
      <c r="E50" s="1803"/>
      <c r="F50" s="1803"/>
      <c r="G50" s="1804"/>
      <c r="H50" s="464" t="s">
        <v>98</v>
      </c>
      <c r="I50" s="465" t="s">
        <v>103</v>
      </c>
      <c r="J50" s="253"/>
    </row>
    <row r="51" spans="1:10" ht="15" customHeight="1" thickBot="1">
      <c r="A51" s="1805"/>
      <c r="B51" s="1806"/>
      <c r="C51" s="1806"/>
      <c r="D51" s="1806"/>
      <c r="E51" s="1806"/>
      <c r="F51" s="1806"/>
      <c r="G51" s="1807"/>
      <c r="H51" s="466">
        <v>40999</v>
      </c>
      <c r="I51" s="467" t="str">
        <f>'Løntabel gældende fra'!$D$1</f>
        <v>01/04/2022</v>
      </c>
      <c r="J51" s="253"/>
    </row>
    <row r="52" spans="1:10" ht="15" customHeight="1" thickBot="1">
      <c r="A52" s="1808" t="s">
        <v>180</v>
      </c>
      <c r="B52" s="1809"/>
      <c r="C52" s="1809"/>
      <c r="D52" s="1809"/>
      <c r="E52" s="1809"/>
      <c r="F52" s="249"/>
      <c r="G52" s="260"/>
      <c r="H52" s="319">
        <v>0</v>
      </c>
      <c r="I52" s="312">
        <f>H52+H52*'Løntabel gældende fra'!$D$7%</f>
        <v>0</v>
      </c>
      <c r="J52" s="253"/>
    </row>
    <row r="53" spans="1:10" ht="15" customHeight="1">
      <c r="A53" s="243"/>
      <c r="B53" s="243"/>
      <c r="C53" s="243"/>
      <c r="D53" s="243"/>
      <c r="E53" s="243"/>
      <c r="F53" s="244"/>
      <c r="G53" s="243"/>
      <c r="H53" s="244"/>
      <c r="I53" s="243"/>
      <c r="J53" s="253"/>
    </row>
    <row r="54" spans="1:10" ht="15" customHeight="1" thickBot="1">
      <c r="A54" s="243"/>
      <c r="B54" s="243"/>
      <c r="C54" s="243"/>
      <c r="D54" s="243"/>
      <c r="E54" s="243"/>
      <c r="F54" s="244"/>
      <c r="G54" s="243"/>
      <c r="H54" s="244"/>
      <c r="I54" s="243"/>
      <c r="J54" s="253"/>
    </row>
    <row r="55" spans="1:10" s="253" customFormat="1" ht="19" thickBot="1">
      <c r="A55" s="1174" t="s">
        <v>184</v>
      </c>
      <c r="B55" s="1175"/>
      <c r="C55" s="1175"/>
      <c r="D55" s="1175"/>
      <c r="E55" s="1175"/>
      <c r="F55" s="1175"/>
      <c r="G55" s="1175"/>
      <c r="H55" s="1175"/>
      <c r="I55" s="1176"/>
    </row>
    <row r="56" spans="1:10" s="253" customFormat="1" ht="14">
      <c r="A56" s="1802"/>
      <c r="B56" s="1803"/>
      <c r="C56" s="1803"/>
      <c r="D56" s="1803"/>
      <c r="E56" s="1803"/>
      <c r="F56" s="1803"/>
      <c r="G56" s="1804"/>
      <c r="H56" s="464" t="s">
        <v>98</v>
      </c>
      <c r="I56" s="465" t="s">
        <v>103</v>
      </c>
    </row>
    <row r="57" spans="1:10" s="253" customFormat="1" ht="15" thickBot="1">
      <c r="A57" s="1805"/>
      <c r="B57" s="1806"/>
      <c r="C57" s="1806"/>
      <c r="D57" s="1806"/>
      <c r="E57" s="1806"/>
      <c r="F57" s="1806"/>
      <c r="G57" s="1807"/>
      <c r="H57" s="466">
        <v>40999</v>
      </c>
      <c r="I57" s="467" t="str">
        <f>'Løntabel gældende fra'!$D$1</f>
        <v>01/04/2022</v>
      </c>
    </row>
    <row r="58" spans="1:10" s="253" customFormat="1" ht="15" thickBot="1">
      <c r="A58" s="1808" t="s">
        <v>184</v>
      </c>
      <c r="B58" s="1809"/>
      <c r="C58" s="1809"/>
      <c r="D58" s="1809"/>
      <c r="E58" s="1809"/>
      <c r="F58" s="249"/>
      <c r="G58" s="260"/>
      <c r="H58" s="319">
        <v>10500</v>
      </c>
      <c r="I58" s="320">
        <f>H58+H58*'Løntabel gældende fra'!$D$7%</f>
        <v>11908.092000000001</v>
      </c>
    </row>
    <row r="59" spans="1:10" s="280" customFormat="1" ht="14">
      <c r="A59" s="277"/>
      <c r="B59" s="277"/>
      <c r="C59" s="277"/>
      <c r="D59" s="277"/>
      <c r="E59" s="277"/>
      <c r="F59" s="264"/>
      <c r="G59" s="264"/>
      <c r="H59" s="278"/>
      <c r="I59" s="279"/>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3" customWidth="1"/>
    <col min="2" max="2" width="15" style="223" customWidth="1"/>
    <col min="3" max="3" width="16.33203125" style="223" customWidth="1"/>
    <col min="4" max="4" width="16.1640625" style="224" customWidth="1"/>
    <col min="5" max="5" width="17.33203125" style="223" customWidth="1"/>
    <col min="6" max="6" width="13.6640625" style="225" customWidth="1"/>
    <col min="7" max="7" width="0.33203125" style="225" customWidth="1"/>
    <col min="8" max="8" width="10.6640625" style="223" customWidth="1"/>
    <col min="9" max="16384" width="8.83203125" style="223"/>
  </cols>
  <sheetData>
    <row r="1" spans="1:9" s="2" customFormat="1" ht="22" customHeight="1">
      <c r="A1" s="1266" t="s">
        <v>19</v>
      </c>
      <c r="B1" s="1267"/>
      <c r="C1" s="1267"/>
      <c r="D1" s="1267"/>
      <c r="E1" s="1267"/>
      <c r="F1" s="1267"/>
      <c r="G1" s="1268"/>
      <c r="H1" s="427"/>
      <c r="I1" s="42"/>
    </row>
    <row r="2" spans="1:9" s="2" customFormat="1" ht="76" customHeight="1">
      <c r="A2" s="1825" t="s">
        <v>148</v>
      </c>
      <c r="B2" s="1826"/>
      <c r="C2" s="1826"/>
      <c r="D2" s="1826"/>
      <c r="E2" s="1826"/>
      <c r="F2" s="1826"/>
      <c r="G2" s="1827"/>
      <c r="H2" s="426"/>
    </row>
    <row r="3" spans="1:9" s="2" customFormat="1" ht="28" customHeight="1" thickBot="1">
      <c r="A3" s="1758" t="s">
        <v>224</v>
      </c>
      <c r="B3" s="1759"/>
      <c r="C3" s="1759"/>
      <c r="D3" s="1759"/>
      <c r="E3" s="1759"/>
      <c r="F3" s="1759"/>
      <c r="G3" s="1760"/>
      <c r="H3" s="427"/>
    </row>
    <row r="4" spans="1:9" ht="12" customHeight="1" thickBot="1">
      <c r="A4" s="1838"/>
      <c r="B4" s="1838"/>
      <c r="C4" s="1838"/>
      <c r="D4" s="1838"/>
      <c r="E4" s="1838"/>
      <c r="F4" s="1838"/>
      <c r="G4" s="1838"/>
    </row>
    <row r="5" spans="1:9" ht="19" thickBot="1">
      <c r="A5" s="486" t="s">
        <v>151</v>
      </c>
      <c r="B5" s="487"/>
      <c r="C5" s="487"/>
      <c r="D5" s="487"/>
      <c r="E5" s="487"/>
      <c r="F5" s="428"/>
      <c r="G5" s="488"/>
    </row>
    <row r="6" spans="1:9" ht="30" customHeight="1">
      <c r="A6" s="1181" t="s">
        <v>138</v>
      </c>
      <c r="B6" s="1181" t="s">
        <v>94</v>
      </c>
      <c r="C6" s="431" t="s">
        <v>100</v>
      </c>
      <c r="D6" s="432" t="s">
        <v>100</v>
      </c>
      <c r="E6" s="432" t="s">
        <v>101</v>
      </c>
      <c r="F6" s="369" t="s">
        <v>139</v>
      </c>
    </row>
    <row r="7" spans="1:9" ht="15" customHeight="1" thickBot="1">
      <c r="A7" s="1199"/>
      <c r="B7" s="1199"/>
      <c r="C7" s="366">
        <v>40999</v>
      </c>
      <c r="D7" s="340">
        <f>'Løntabel gældende fra'!C7</f>
        <v>44652</v>
      </c>
      <c r="E7" s="340">
        <f>'Løntabel gældende fra'!C7</f>
        <v>44652</v>
      </c>
      <c r="F7" s="423" t="s">
        <v>140</v>
      </c>
    </row>
    <row r="8" spans="1:9" ht="16" customHeight="1">
      <c r="A8" s="98">
        <v>1</v>
      </c>
      <c r="B8" s="98" t="s">
        <v>141</v>
      </c>
      <c r="C8" s="389">
        <f>12*22670</f>
        <v>272040</v>
      </c>
      <c r="D8" s="231">
        <f>C8+(C8*'Løntabel gældende fra'!$D$7%)</f>
        <v>308521.65216</v>
      </c>
      <c r="E8" s="385">
        <f>D8/12</f>
        <v>25710.13768</v>
      </c>
      <c r="F8" s="478">
        <f>(E8*12)/1672*1</f>
        <v>184.52251923444976</v>
      </c>
    </row>
    <row r="9" spans="1:9" ht="16" customHeight="1">
      <c r="A9" s="99">
        <v>2</v>
      </c>
      <c r="B9" s="99" t="s">
        <v>149</v>
      </c>
      <c r="C9" s="384">
        <f>25300*12</f>
        <v>303600</v>
      </c>
      <c r="D9" s="192">
        <f>C9+(C9*'Løntabel gældende fra'!$D$7%)</f>
        <v>344313.97440000001</v>
      </c>
      <c r="E9" s="291">
        <f>D9/12</f>
        <v>28692.831200000001</v>
      </c>
      <c r="F9" s="480">
        <f>(E9*12)/1672*1</f>
        <v>205.92941052631579</v>
      </c>
    </row>
    <row r="10" spans="1:9" ht="16" customHeight="1">
      <c r="A10" s="226">
        <v>3</v>
      </c>
      <c r="B10" s="481" t="s">
        <v>142</v>
      </c>
      <c r="C10" s="482">
        <f>27920*12</f>
        <v>335040</v>
      </c>
      <c r="D10" s="192">
        <f>C10+(C10*'Løntabel gældende fra'!$D$7%)</f>
        <v>379970.20416000002</v>
      </c>
      <c r="E10" s="291">
        <f>D10/12</f>
        <v>31664.183680000002</v>
      </c>
      <c r="F10" s="480">
        <f>(E10*12)/1672*1</f>
        <v>227.25490679425837</v>
      </c>
    </row>
    <row r="11" spans="1:9" ht="16" customHeight="1" thickBot="1">
      <c r="A11" s="227">
        <v>4</v>
      </c>
      <c r="B11" s="483" t="s">
        <v>150</v>
      </c>
      <c r="C11" s="484">
        <f>29200*12</f>
        <v>350400</v>
      </c>
      <c r="D11" s="172">
        <f>C11+(C11*'Løntabel gældende fra'!$D$7%)</f>
        <v>397390.0416</v>
      </c>
      <c r="E11" s="388">
        <f>D11/12</f>
        <v>33115.836799999997</v>
      </c>
      <c r="F11" s="479">
        <f>(E11*12)/1672*1</f>
        <v>237.67346985645932</v>
      </c>
    </row>
    <row r="12" spans="1:9" ht="11" customHeight="1" thickBot="1"/>
    <row r="13" spans="1:9" ht="19" thickBot="1">
      <c r="A13" s="1187" t="s">
        <v>152</v>
      </c>
      <c r="B13" s="1188"/>
      <c r="C13" s="1188"/>
      <c r="D13" s="1188"/>
      <c r="E13" s="1246"/>
      <c r="F13" s="217"/>
    </row>
    <row r="14" spans="1:9" ht="30" customHeight="1">
      <c r="A14" s="1181" t="s">
        <v>138</v>
      </c>
      <c r="B14" s="431" t="s">
        <v>100</v>
      </c>
      <c r="C14" s="432" t="s">
        <v>100</v>
      </c>
      <c r="D14" s="432" t="s">
        <v>101</v>
      </c>
      <c r="E14" s="369" t="s">
        <v>139</v>
      </c>
      <c r="F14" s="43"/>
    </row>
    <row r="15" spans="1:9" ht="17" customHeight="1" thickBot="1">
      <c r="A15" s="1199"/>
      <c r="B15" s="366">
        <v>40999</v>
      </c>
      <c r="C15" s="340">
        <f>'Løntabel gældende fra'!C7</f>
        <v>44652</v>
      </c>
      <c r="D15" s="340">
        <f>'Løntabel gældende fra'!C7</f>
        <v>44652</v>
      </c>
      <c r="E15" s="423" t="s">
        <v>140</v>
      </c>
      <c r="F15" s="43"/>
    </row>
    <row r="16" spans="1:9" ht="16" customHeight="1">
      <c r="A16" s="98" t="s">
        <v>143</v>
      </c>
      <c r="B16" s="389">
        <f>12*13140</f>
        <v>157680</v>
      </c>
      <c r="C16" s="231">
        <f>B16+(B16*'Løntabel gældende fra'!$D$7%)</f>
        <v>178825.51871999999</v>
      </c>
      <c r="D16" s="385">
        <f>C16/12</f>
        <v>14902.126559999999</v>
      </c>
      <c r="E16" s="478">
        <f>(D16*12)/1672*1</f>
        <v>106.9530614354067</v>
      </c>
      <c r="F16" s="230"/>
    </row>
    <row r="17" spans="1:8" ht="16" customHeight="1" thickBot="1">
      <c r="A17" s="100" t="s">
        <v>144</v>
      </c>
      <c r="B17" s="386">
        <f>12*13800</f>
        <v>165600</v>
      </c>
      <c r="C17" s="172">
        <f>B17+(B17*'Løntabel gældende fra'!$D$7%)</f>
        <v>187807.62239999999</v>
      </c>
      <c r="D17" s="388">
        <f>C17/12</f>
        <v>15650.635199999999</v>
      </c>
      <c r="E17" s="479">
        <f>(D17*12)/1672*1</f>
        <v>112.32513301435407</v>
      </c>
      <c r="F17" s="230"/>
    </row>
    <row r="18" spans="1:8" ht="13" customHeight="1" thickBot="1"/>
    <row r="19" spans="1:8" ht="19" thickBot="1">
      <c r="A19" s="1187" t="s">
        <v>153</v>
      </c>
      <c r="B19" s="1188"/>
      <c r="C19" s="1188"/>
      <c r="D19" s="1188"/>
      <c r="E19" s="1246"/>
    </row>
    <row r="20" spans="1:8" ht="30" customHeight="1">
      <c r="A20" s="367" t="s">
        <v>138</v>
      </c>
      <c r="B20" s="431" t="s">
        <v>100</v>
      </c>
      <c r="C20" s="432" t="s">
        <v>100</v>
      </c>
      <c r="D20" s="432" t="s">
        <v>101</v>
      </c>
      <c r="E20" s="369" t="s">
        <v>139</v>
      </c>
    </row>
    <row r="21" spans="1:8" ht="16" customHeight="1" thickBot="1">
      <c r="A21" s="370"/>
      <c r="B21" s="366">
        <v>40999</v>
      </c>
      <c r="C21" s="340">
        <f>'Løntabel gældende fra'!C7</f>
        <v>44652</v>
      </c>
      <c r="D21" s="340">
        <f>'Løntabel gældende fra'!C7</f>
        <v>44652</v>
      </c>
      <c r="E21" s="423" t="s">
        <v>140</v>
      </c>
    </row>
    <row r="22" spans="1:8" ht="16" customHeight="1" thickBot="1">
      <c r="A22" s="228" t="s">
        <v>143</v>
      </c>
      <c r="B22" s="390">
        <f>12*18700</f>
        <v>224400</v>
      </c>
      <c r="C22" s="232">
        <f>B22+(B22*'Løntabel gældende fra'!$D$7%)</f>
        <v>254492.9376</v>
      </c>
      <c r="D22" s="233">
        <f>C22/12</f>
        <v>21207.7448</v>
      </c>
      <c r="E22" s="485">
        <f>(D22*12)/1672*1</f>
        <v>152.20869473684212</v>
      </c>
      <c r="F22" s="224"/>
      <c r="G22" s="224"/>
    </row>
    <row r="23" spans="1:8" s="424" customFormat="1" ht="12" customHeight="1" thickBot="1">
      <c r="A23" s="43"/>
      <c r="B23" s="278"/>
      <c r="C23" s="278"/>
      <c r="D23" s="278"/>
      <c r="E23" s="229"/>
      <c r="F23" s="425"/>
      <c r="G23" s="425"/>
    </row>
    <row r="24" spans="1:8" ht="19" thickBot="1">
      <c r="A24" s="1187" t="s">
        <v>155</v>
      </c>
      <c r="B24" s="1188"/>
      <c r="C24" s="1188"/>
      <c r="D24" s="1188"/>
      <c r="E24" s="1246"/>
      <c r="F24" s="217"/>
      <c r="G24" s="217"/>
      <c r="H24" s="217"/>
    </row>
    <row r="25" spans="1:8" ht="31" customHeight="1" thickBot="1">
      <c r="A25" s="1152" t="s">
        <v>138</v>
      </c>
      <c r="B25" s="1181" t="s">
        <v>20</v>
      </c>
      <c r="C25" s="433" t="s">
        <v>232</v>
      </c>
      <c r="D25" s="434">
        <v>0.17299999999999999</v>
      </c>
      <c r="E25" s="441"/>
      <c r="F25" s="435"/>
      <c r="G25" s="438"/>
      <c r="H25" s="439"/>
    </row>
    <row r="26" spans="1:8" ht="45" customHeight="1" thickBot="1">
      <c r="A26" s="1338"/>
      <c r="B26" s="1199"/>
      <c r="C26" s="216" t="s">
        <v>21</v>
      </c>
      <c r="D26" s="437" t="s">
        <v>233</v>
      </c>
      <c r="E26" s="432" t="s">
        <v>22</v>
      </c>
      <c r="F26" s="1842"/>
      <c r="G26" s="1842"/>
      <c r="H26" s="440"/>
    </row>
    <row r="27" spans="1:8" ht="16" customHeight="1">
      <c r="A27" s="377">
        <v>1</v>
      </c>
      <c r="B27" s="171">
        <f>E8</f>
        <v>25710.13768</v>
      </c>
      <c r="C27" s="171">
        <f>E27*1/3</f>
        <v>1482.6179395466663</v>
      </c>
      <c r="D27" s="365">
        <f>E27*2/3</f>
        <v>2965.2358790933326</v>
      </c>
      <c r="E27" s="171">
        <f>B27*$D$25</f>
        <v>4447.8538186399992</v>
      </c>
      <c r="F27" s="435"/>
      <c r="G27" s="436"/>
      <c r="H27" s="270"/>
    </row>
    <row r="28" spans="1:8" ht="16" customHeight="1">
      <c r="A28" s="442">
        <v>2</v>
      </c>
      <c r="B28" s="192">
        <f>E9</f>
        <v>28692.831200000001</v>
      </c>
      <c r="C28" s="192">
        <f>E28*1/3</f>
        <v>1654.6199325333334</v>
      </c>
      <c r="D28" s="374">
        <f>E28*2/3</f>
        <v>3309.2398650666669</v>
      </c>
      <c r="E28" s="192">
        <f>B28*$D$25</f>
        <v>4963.8597976000001</v>
      </c>
      <c r="F28" s="435"/>
      <c r="G28" s="436"/>
      <c r="H28" s="270"/>
    </row>
    <row r="29" spans="1:8" ht="16" customHeight="1">
      <c r="A29" s="442">
        <v>3</v>
      </c>
      <c r="B29" s="192">
        <f>E10</f>
        <v>31664.183680000002</v>
      </c>
      <c r="C29" s="192">
        <f>E29*1/3</f>
        <v>1825.9679255466665</v>
      </c>
      <c r="D29" s="374">
        <f>E29*2/3</f>
        <v>3651.935851093333</v>
      </c>
      <c r="E29" s="192">
        <f>B29*$D$25</f>
        <v>5477.9037766399997</v>
      </c>
      <c r="F29" s="435"/>
      <c r="G29" s="436"/>
      <c r="H29" s="270"/>
    </row>
    <row r="30" spans="1:8" ht="16" customHeight="1" thickBot="1">
      <c r="A30" s="379">
        <v>4</v>
      </c>
      <c r="B30" s="172">
        <f>E11</f>
        <v>33115.836799999997</v>
      </c>
      <c r="C30" s="172">
        <f>E30*1/3</f>
        <v>1909.6799221333331</v>
      </c>
      <c r="D30" s="372">
        <f>E30*2/3</f>
        <v>3819.3598442666662</v>
      </c>
      <c r="E30" s="172">
        <f>B30*$D$25</f>
        <v>5729.0397663999993</v>
      </c>
      <c r="F30" s="435"/>
      <c r="G30" s="436"/>
      <c r="H30" s="270"/>
    </row>
    <row r="31" spans="1:8" ht="12" customHeight="1" thickBot="1">
      <c r="A31" s="43"/>
      <c r="B31" s="234"/>
      <c r="C31" s="234"/>
      <c r="D31" s="234"/>
      <c r="E31" s="229"/>
      <c r="F31" s="224"/>
      <c r="G31" s="224"/>
    </row>
    <row r="32" spans="1:8" ht="26.25" customHeight="1" thickBot="1">
      <c r="A32" s="1843" t="s">
        <v>156</v>
      </c>
      <c r="B32" s="1844"/>
      <c r="C32" s="1844"/>
      <c r="D32" s="1844"/>
      <c r="E32" s="1845"/>
      <c r="F32" s="116" t="s">
        <v>92</v>
      </c>
      <c r="G32" s="224"/>
    </row>
    <row r="33" spans="1:8" ht="29" customHeight="1" thickBot="1">
      <c r="A33" s="1171" t="s">
        <v>154</v>
      </c>
      <c r="B33" s="1172"/>
      <c r="C33" s="1172"/>
      <c r="D33" s="1172"/>
      <c r="E33" s="1837"/>
      <c r="F33" s="477">
        <v>160</v>
      </c>
      <c r="G33" s="224"/>
    </row>
    <row r="34" spans="1:8" ht="4.5" customHeight="1">
      <c r="A34" s="429"/>
      <c r="B34" s="429"/>
      <c r="C34" s="429"/>
      <c r="D34" s="429"/>
      <c r="E34" s="429"/>
      <c r="F34" s="430"/>
      <c r="G34" s="224"/>
    </row>
    <row r="35" spans="1:8" s="253" customFormat="1" ht="28" customHeight="1">
      <c r="A35" s="1839" t="s">
        <v>145</v>
      </c>
      <c r="B35" s="1839"/>
      <c r="C35" s="1839"/>
      <c r="D35" s="1839"/>
      <c r="E35" s="1839"/>
      <c r="F35" s="1839"/>
      <c r="G35" s="1839"/>
    </row>
    <row r="36" spans="1:8" s="253" customFormat="1" ht="30" customHeight="1">
      <c r="A36" s="1840" t="s">
        <v>146</v>
      </c>
      <c r="B36" s="1840"/>
      <c r="C36" s="1840"/>
      <c r="D36" s="1840"/>
      <c r="E36" s="1840"/>
      <c r="F36" s="1840"/>
      <c r="G36" s="1840"/>
      <c r="H36" s="443"/>
    </row>
    <row r="37" spans="1:8" s="253" customFormat="1" ht="32.25" customHeight="1">
      <c r="A37" s="1841" t="s">
        <v>147</v>
      </c>
      <c r="B37" s="1841"/>
      <c r="C37" s="1841"/>
      <c r="D37" s="1841"/>
      <c r="E37" s="1841"/>
      <c r="F37" s="1841"/>
      <c r="G37" s="1841"/>
    </row>
    <row r="38" spans="1:8" s="236" customFormat="1">
      <c r="A38" s="235"/>
      <c r="B38" s="235"/>
      <c r="D38" s="237"/>
      <c r="F38" s="238"/>
      <c r="G38" s="238"/>
    </row>
    <row r="39" spans="1:8" s="236" customFormat="1">
      <c r="A39" s="239"/>
      <c r="B39" s="239"/>
      <c r="D39" s="237"/>
      <c r="F39" s="238"/>
      <c r="G39" s="238"/>
    </row>
    <row r="40" spans="1:8" s="236" customFormat="1">
      <c r="A40" s="239"/>
      <c r="B40" s="239"/>
      <c r="C40" s="240"/>
      <c r="D40" s="237"/>
      <c r="F40" s="238"/>
      <c r="G40" s="238"/>
    </row>
    <row r="41" spans="1:8" s="236" customFormat="1">
      <c r="C41" s="241"/>
      <c r="D41" s="237"/>
      <c r="F41" s="238"/>
      <c r="G41" s="238"/>
    </row>
    <row r="42" spans="1:8" s="236" customFormat="1">
      <c r="C42" s="241"/>
      <c r="D42" s="237"/>
      <c r="F42" s="238"/>
      <c r="G42" s="238"/>
    </row>
    <row r="43" spans="1:8" s="236" customFormat="1">
      <c r="C43" s="241"/>
      <c r="D43" s="237"/>
      <c r="F43" s="238"/>
      <c r="G43" s="238"/>
    </row>
    <row r="44" spans="1:8" s="236" customFormat="1">
      <c r="C44" s="242"/>
      <c r="D44" s="237"/>
      <c r="F44" s="238"/>
      <c r="G44" s="238"/>
    </row>
    <row r="45" spans="1:8" s="236" customFormat="1">
      <c r="D45" s="237"/>
      <c r="F45" s="238"/>
      <c r="G45" s="238"/>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C11" sqref="C11"/>
    </sheetView>
  </sheetViews>
  <sheetFormatPr baseColWidth="10" defaultColWidth="8.83203125" defaultRowHeight="13"/>
  <cols>
    <col min="1" max="1" width="9" style="223" customWidth="1"/>
    <col min="2" max="2" width="11.6640625" style="223" customWidth="1"/>
    <col min="3" max="3" width="11.1640625" style="223" customWidth="1"/>
    <col min="4" max="4" width="11.33203125" style="223" customWidth="1"/>
    <col min="5" max="6" width="10.6640625" style="223" customWidth="1"/>
    <col min="7" max="7" width="11.33203125" style="223" customWidth="1"/>
    <col min="8" max="8" width="11.1640625" style="223" customWidth="1"/>
    <col min="9" max="9" width="11.33203125" style="223" customWidth="1"/>
    <col min="10" max="10" width="10.5" style="223" customWidth="1"/>
    <col min="11" max="16384" width="8.83203125" style="223"/>
  </cols>
  <sheetData>
    <row r="1" spans="1:16" ht="20">
      <c r="A1" s="1266" t="s">
        <v>19</v>
      </c>
      <c r="B1" s="1267"/>
      <c r="C1" s="1267"/>
      <c r="D1" s="1267"/>
      <c r="E1" s="1267"/>
      <c r="F1" s="1267"/>
      <c r="G1" s="1267"/>
      <c r="H1" s="1267"/>
      <c r="I1" s="1267"/>
      <c r="J1" s="1268"/>
    </row>
    <row r="2" spans="1:16" ht="38" customHeight="1">
      <c r="A2" s="1825" t="s">
        <v>190</v>
      </c>
      <c r="B2" s="1826"/>
      <c r="C2" s="1826"/>
      <c r="D2" s="1826"/>
      <c r="E2" s="1826"/>
      <c r="F2" s="1826"/>
      <c r="G2" s="1826"/>
      <c r="H2" s="1826"/>
      <c r="I2" s="1826"/>
      <c r="J2" s="1827"/>
    </row>
    <row r="3" spans="1:16" ht="20">
      <c r="A3" s="1279" t="str">
        <f>'Forside 1'!A6:I6</f>
        <v>Gældende fra 1. august 2022</v>
      </c>
      <c r="B3" s="1280"/>
      <c r="C3" s="1280"/>
      <c r="D3" s="1280"/>
      <c r="E3" s="1280"/>
      <c r="F3" s="1280"/>
      <c r="G3" s="1280"/>
      <c r="H3" s="1280"/>
      <c r="I3" s="1280"/>
      <c r="J3" s="1281"/>
    </row>
    <row r="4" spans="1:16" ht="17" customHeight="1">
      <c r="A4" s="1861" t="s">
        <v>490</v>
      </c>
      <c r="B4" s="1862"/>
      <c r="C4" s="1862"/>
      <c r="D4" s="1862"/>
      <c r="E4" s="1862"/>
      <c r="F4" s="1862"/>
      <c r="G4" s="1862"/>
      <c r="H4" s="1862"/>
      <c r="I4" s="1862"/>
      <c r="J4" s="1863"/>
    </row>
    <row r="5" spans="1:16" ht="8" customHeight="1">
      <c r="A5" s="1861" t="s">
        <v>489</v>
      </c>
      <c r="B5" s="1862"/>
      <c r="C5" s="1862"/>
      <c r="D5" s="1862"/>
      <c r="E5" s="1862"/>
      <c r="F5" s="1862"/>
      <c r="G5" s="1862"/>
      <c r="H5" s="1862"/>
      <c r="I5" s="1862"/>
      <c r="J5" s="1863"/>
      <c r="L5" s="254"/>
      <c r="M5" s="253"/>
      <c r="N5" s="253"/>
      <c r="O5" s="253"/>
      <c r="P5" s="253"/>
    </row>
    <row r="6" spans="1:16" ht="7" customHeight="1" thickBot="1">
      <c r="A6" s="1864"/>
      <c r="B6" s="1865"/>
      <c r="C6" s="1865"/>
      <c r="D6" s="1865"/>
      <c r="E6" s="1865"/>
      <c r="F6" s="1865"/>
      <c r="G6" s="1865"/>
      <c r="H6" s="1865"/>
      <c r="I6" s="1865"/>
      <c r="J6" s="1866"/>
      <c r="L6" s="254"/>
      <c r="M6" s="253"/>
      <c r="N6" s="253"/>
      <c r="O6" s="253"/>
      <c r="P6" s="253"/>
    </row>
    <row r="7" spans="1:16" s="424" customFormat="1" ht="18" customHeight="1" thickBot="1">
      <c r="A7" s="577"/>
      <c r="B7" s="577"/>
      <c r="C7" s="577"/>
      <c r="D7" s="577"/>
      <c r="E7" s="577"/>
      <c r="F7" s="577"/>
      <c r="G7" s="578"/>
      <c r="H7" s="578"/>
      <c r="I7" s="578"/>
      <c r="J7" s="578"/>
      <c r="L7" s="579"/>
      <c r="M7" s="580"/>
      <c r="N7" s="580"/>
      <c r="O7" s="580"/>
      <c r="P7" s="580"/>
    </row>
    <row r="8" spans="1:16" ht="21" customHeight="1" thickBot="1">
      <c r="A8" s="1828" t="s">
        <v>484</v>
      </c>
      <c r="B8" s="1829"/>
      <c r="C8" s="1829"/>
      <c r="D8" s="1829"/>
      <c r="E8" s="1829"/>
      <c r="F8" s="1830"/>
      <c r="G8" s="1699" t="s">
        <v>168</v>
      </c>
      <c r="H8" s="1700"/>
      <c r="I8" s="1700"/>
      <c r="J8" s="1701"/>
      <c r="L8" s="254"/>
      <c r="M8" s="253"/>
      <c r="N8" s="253"/>
      <c r="O8" s="253"/>
      <c r="P8" s="253"/>
    </row>
    <row r="9" spans="1:16" ht="42">
      <c r="A9" s="470" t="s">
        <v>57</v>
      </c>
      <c r="B9" s="470" t="s">
        <v>75</v>
      </c>
      <c r="C9" s="473" t="s">
        <v>76</v>
      </c>
      <c r="D9" s="470" t="s">
        <v>77</v>
      </c>
      <c r="E9" s="470" t="s">
        <v>78</v>
      </c>
      <c r="F9" s="470" t="s">
        <v>79</v>
      </c>
      <c r="G9" s="474" t="s">
        <v>185</v>
      </c>
      <c r="H9" s="475" t="s">
        <v>187</v>
      </c>
      <c r="I9" s="475" t="s">
        <v>188</v>
      </c>
      <c r="J9" s="476">
        <v>0.14499999999999999</v>
      </c>
    </row>
    <row r="10" spans="1:16" ht="16" customHeight="1">
      <c r="A10" s="306">
        <v>14</v>
      </c>
      <c r="B10" s="650">
        <f>'Statens skalatrin'!D46</f>
        <v>21511.25</v>
      </c>
      <c r="C10" s="650">
        <f>'Statens skalatrin'!F46</f>
        <v>21959.17</v>
      </c>
      <c r="D10" s="650">
        <f>'Statens skalatrin'!H46</f>
        <v>22269.25</v>
      </c>
      <c r="E10" s="650">
        <f>'Statens skalatrin'!J46</f>
        <v>22717.17</v>
      </c>
      <c r="F10" s="650">
        <f>'Statens skalatrin'!L46</f>
        <v>23027.25</v>
      </c>
      <c r="G10" s="1853">
        <f>'Statens skalatrin'!O46</f>
        <v>20112.32</v>
      </c>
      <c r="H10" s="1853">
        <f>ROUND(J10*1/3,2)</f>
        <v>972.1</v>
      </c>
      <c r="I10" s="1853">
        <f>ROUND(J10*2/3,2)</f>
        <v>1944.19</v>
      </c>
      <c r="J10" s="1853">
        <f>ROUND(G10*$J$9,2)</f>
        <v>2916.29</v>
      </c>
    </row>
    <row r="11" spans="1:16" ht="16" customHeight="1">
      <c r="A11" s="383" t="s">
        <v>230</v>
      </c>
      <c r="B11" s="496">
        <f>B10+($F$20/12)</f>
        <v>21696.203333333335</v>
      </c>
      <c r="C11" s="496">
        <f t="shared" ref="C11:F11" si="0">C10+($F$20/12)</f>
        <v>22144.123333333333</v>
      </c>
      <c r="D11" s="496">
        <f t="shared" si="0"/>
        <v>22454.203333333335</v>
      </c>
      <c r="E11" s="496">
        <f t="shared" si="0"/>
        <v>22902.123333333333</v>
      </c>
      <c r="F11" s="496">
        <f t="shared" si="0"/>
        <v>23212.203333333335</v>
      </c>
      <c r="G11" s="1854"/>
      <c r="H11" s="1854"/>
      <c r="I11" s="1854"/>
      <c r="J11" s="1854"/>
    </row>
    <row r="12" spans="1:16" ht="16" customHeight="1">
      <c r="A12" s="306">
        <v>17</v>
      </c>
      <c r="B12" s="496">
        <f>'Statens skalatrin'!D55</f>
        <v>22588.080000000002</v>
      </c>
      <c r="C12" s="496">
        <f>'Statens skalatrin'!F55</f>
        <v>23070.92</v>
      </c>
      <c r="D12" s="651">
        <f>'Statens skalatrin'!H55</f>
        <v>23405.17</v>
      </c>
      <c r="E12" s="496">
        <f>'Statens skalatrin'!J55</f>
        <v>23887.919999999998</v>
      </c>
      <c r="F12" s="496">
        <f>'Statens skalatrin'!L55</f>
        <v>24222</v>
      </c>
      <c r="G12" s="1055">
        <f>'Statens skalatrin'!O55</f>
        <v>21214.74</v>
      </c>
      <c r="H12" s="1054">
        <f>ROUND(J12*1/3,2)</f>
        <v>1025.3800000000001</v>
      </c>
      <c r="I12" s="1054">
        <f>ROUND(J12*2/3,2)</f>
        <v>2050.7600000000002</v>
      </c>
      <c r="J12" s="1054">
        <f>ROUND(G12*$J$9,2)</f>
        <v>3076.14</v>
      </c>
    </row>
    <row r="13" spans="1:16" ht="16" customHeight="1">
      <c r="A13" s="1053">
        <v>21</v>
      </c>
      <c r="B13" s="651">
        <f>'Statens skalatrin'!D67</f>
        <v>24023.33</v>
      </c>
      <c r="C13" s="651">
        <f>'Statens skalatrin'!F67</f>
        <v>24557.25</v>
      </c>
      <c r="D13" s="651">
        <f>'Statens skalatrin'!H67</f>
        <v>24926.83</v>
      </c>
      <c r="E13" s="651">
        <f>'Statens skalatrin'!J67</f>
        <v>25460.75</v>
      </c>
      <c r="F13" s="651">
        <f>'Statens skalatrin'!L67</f>
        <v>25830.33</v>
      </c>
      <c r="G13" s="1853">
        <f>'Statens skalatrin'!O67</f>
        <v>22831.72</v>
      </c>
      <c r="H13" s="1853">
        <f>ROUND(J13*1/3,2)</f>
        <v>1103.53</v>
      </c>
      <c r="I13" s="1853">
        <f>ROUND(J13*2/3,2)</f>
        <v>2207.0700000000002</v>
      </c>
      <c r="J13" s="1853">
        <f>ROUND(G13*$J$9,2)</f>
        <v>3310.6</v>
      </c>
    </row>
    <row r="14" spans="1:16" ht="16" customHeight="1" thickBot="1">
      <c r="A14" s="1067" t="s">
        <v>528</v>
      </c>
      <c r="B14" s="652">
        <f>B13+($F$21/12)</f>
        <v>24212.347500000003</v>
      </c>
      <c r="C14" s="652">
        <f>C13+($F$21/12)</f>
        <v>24746.267500000002</v>
      </c>
      <c r="D14" s="652">
        <f>D13+($F$21/12)</f>
        <v>25115.847500000003</v>
      </c>
      <c r="E14" s="652">
        <f>E13+($F$21/12)</f>
        <v>25649.767500000002</v>
      </c>
      <c r="F14" s="652">
        <f>F13+($F$21/12)</f>
        <v>26019.347500000003</v>
      </c>
      <c r="G14" s="1882"/>
      <c r="H14" s="1882"/>
      <c r="I14" s="1882"/>
      <c r="J14" s="1882"/>
    </row>
    <row r="15" spans="1:16" ht="17" customHeight="1" thickBot="1">
      <c r="A15" s="253"/>
      <c r="B15" s="247"/>
      <c r="C15" s="247"/>
      <c r="D15" s="247"/>
      <c r="E15" s="247"/>
      <c r="F15" s="247"/>
      <c r="G15" s="271"/>
      <c r="H15" s="272"/>
      <c r="I15" s="273"/>
      <c r="J15" s="273"/>
    </row>
    <row r="16" spans="1:16" ht="21" customHeight="1">
      <c r="A16" s="1174" t="s">
        <v>163</v>
      </c>
      <c r="B16" s="1175"/>
      <c r="C16" s="1175"/>
      <c r="D16" s="1175"/>
      <c r="E16" s="1175"/>
      <c r="F16" s="1176"/>
      <c r="G16" s="217"/>
      <c r="H16" s="217"/>
      <c r="I16" s="217"/>
      <c r="J16" s="243"/>
    </row>
    <row r="17" spans="1:10" ht="21" customHeight="1" thickBot="1">
      <c r="A17" s="1263" t="s">
        <v>485</v>
      </c>
      <c r="B17" s="1264"/>
      <c r="C17" s="1264"/>
      <c r="D17" s="1264"/>
      <c r="E17" s="1264"/>
      <c r="F17" s="1265"/>
      <c r="G17" s="217"/>
      <c r="H17" s="217"/>
      <c r="I17" s="217"/>
      <c r="J17" s="243"/>
    </row>
    <row r="18" spans="1:10" ht="27" customHeight="1">
      <c r="A18" s="1872" t="s">
        <v>527</v>
      </c>
      <c r="B18" s="1873"/>
      <c r="C18" s="1873"/>
      <c r="D18" s="1873"/>
      <c r="E18" s="1014" t="s">
        <v>131</v>
      </c>
      <c r="F18" s="1015" t="s">
        <v>340</v>
      </c>
      <c r="G18" s="264"/>
      <c r="H18" s="253"/>
      <c r="I18" s="253"/>
      <c r="J18" s="243"/>
    </row>
    <row r="19" spans="1:10" ht="15" customHeight="1">
      <c r="A19" s="1805"/>
      <c r="B19" s="1806"/>
      <c r="C19" s="1806"/>
      <c r="D19" s="1806"/>
      <c r="E19" s="581">
        <v>40999</v>
      </c>
      <c r="F19" s="1033" t="str">
        <f>'Løntabel gældende fra'!D1</f>
        <v>01/04/2022</v>
      </c>
      <c r="G19" s="264"/>
      <c r="H19" s="253"/>
      <c r="I19" s="253"/>
      <c r="J19" s="243"/>
    </row>
    <row r="20" spans="1:10" ht="15" customHeight="1">
      <c r="A20" s="1815" t="s">
        <v>525</v>
      </c>
      <c r="B20" s="1816"/>
      <c r="C20" s="1816"/>
      <c r="D20" s="1885"/>
      <c r="E20" s="1051">
        <v>1957</v>
      </c>
      <c r="F20" s="1052">
        <f>ROUND(E20+(E20*'Løntabel gældende fra'!$D$7%),2)</f>
        <v>2219.44</v>
      </c>
      <c r="G20" s="264"/>
      <c r="H20" s="253"/>
      <c r="I20" s="253"/>
      <c r="J20" s="243"/>
    </row>
    <row r="21" spans="1:10" ht="16" customHeight="1" thickBot="1">
      <c r="A21" s="1226" t="s">
        <v>526</v>
      </c>
      <c r="B21" s="1227"/>
      <c r="C21" s="1227"/>
      <c r="D21" s="1228"/>
      <c r="E21" s="1049">
        <v>2000</v>
      </c>
      <c r="F21" s="1050">
        <f>ROUND(E21+(E21*'Løntabel gældende fra'!$D$7%),2)</f>
        <v>2268.21</v>
      </c>
      <c r="G21" s="264"/>
      <c r="H21" s="253"/>
      <c r="I21" s="253"/>
      <c r="J21" s="243"/>
    </row>
    <row r="22" spans="1:10" ht="16" customHeight="1" thickBot="1">
      <c r="A22" s="1883"/>
      <c r="B22" s="1884"/>
      <c r="C22" s="1884"/>
      <c r="D22" s="1884"/>
      <c r="E22" s="1884"/>
      <c r="F22" s="1884"/>
      <c r="G22" s="1884"/>
      <c r="H22" s="1884"/>
      <c r="I22" s="1884"/>
      <c r="J22" s="1884"/>
    </row>
    <row r="23" spans="1:10" s="548" customFormat="1" ht="27" customHeight="1">
      <c r="A23" s="1154" t="s">
        <v>192</v>
      </c>
      <c r="B23" s="1292"/>
      <c r="C23" s="1292"/>
      <c r="D23" s="1292"/>
      <c r="E23" s="1292"/>
      <c r="F23" s="1292"/>
      <c r="G23" s="1293"/>
      <c r="H23" s="243"/>
    </row>
    <row r="24" spans="1:10" s="548" customFormat="1" ht="16" customHeight="1" thickBot="1">
      <c r="A24" s="1164" t="s">
        <v>312</v>
      </c>
      <c r="B24" s="1165"/>
      <c r="C24" s="1165"/>
      <c r="D24" s="1165"/>
      <c r="E24" s="1165"/>
      <c r="F24" s="1165"/>
      <c r="G24" s="1166"/>
      <c r="H24" s="243"/>
    </row>
    <row r="25" spans="1:10" s="243" customFormat="1" ht="16">
      <c r="A25" s="1716"/>
      <c r="B25" s="1717"/>
      <c r="C25" s="1718"/>
      <c r="D25" s="1781" t="s">
        <v>341</v>
      </c>
      <c r="E25" s="1781"/>
      <c r="F25" s="1697" t="s">
        <v>342</v>
      </c>
      <c r="G25" s="1698"/>
    </row>
    <row r="26" spans="1:10" s="243" customFormat="1" ht="13" customHeight="1" thickBot="1">
      <c r="A26" s="1719"/>
      <c r="B26" s="1720"/>
      <c r="C26" s="1721"/>
      <c r="D26" s="1704">
        <v>40999</v>
      </c>
      <c r="E26" s="1705"/>
      <c r="F26" s="1695" t="str">
        <f>'Løntabel gældende fra'!$D$1</f>
        <v>01/04/2022</v>
      </c>
      <c r="G26" s="1696"/>
    </row>
    <row r="27" spans="1:10" s="243" customFormat="1" ht="16" customHeight="1" thickBot="1">
      <c r="A27" s="1855" t="s">
        <v>162</v>
      </c>
      <c r="B27" s="1856"/>
      <c r="C27" s="1857"/>
      <c r="D27" s="1858">
        <v>148</v>
      </c>
      <c r="E27" s="1859"/>
      <c r="F27" s="1860">
        <f>ROUND(+D27*(1+'Løntabel gældende fra'!$D$7/100),2)</f>
        <v>167.85</v>
      </c>
      <c r="G27" s="1859"/>
    </row>
    <row r="28" spans="1:10" ht="15" customHeight="1" thickBot="1">
      <c r="A28" s="262"/>
      <c r="B28" s="261"/>
      <c r="C28" s="261"/>
      <c r="D28" s="261"/>
      <c r="E28" s="261"/>
      <c r="F28" s="261"/>
      <c r="G28" s="253"/>
      <c r="H28" s="252"/>
      <c r="I28" s="252"/>
      <c r="J28" s="243"/>
    </row>
    <row r="29" spans="1:10" s="548" customFormat="1" ht="27" customHeight="1">
      <c r="A29" s="1154" t="s">
        <v>502</v>
      </c>
      <c r="B29" s="1292"/>
      <c r="C29" s="1292"/>
      <c r="D29" s="1292"/>
      <c r="E29" s="1292"/>
      <c r="F29" s="1292"/>
      <c r="G29" s="1293"/>
      <c r="H29" s="243"/>
    </row>
    <row r="30" spans="1:10" s="548" customFormat="1" ht="16" customHeight="1" thickBot="1">
      <c r="A30" s="1164" t="s">
        <v>312</v>
      </c>
      <c r="B30" s="1165"/>
      <c r="C30" s="1165"/>
      <c r="D30" s="1165"/>
      <c r="E30" s="1165"/>
      <c r="F30" s="1165"/>
      <c r="G30" s="1166"/>
      <c r="H30" s="243"/>
    </row>
    <row r="31" spans="1:10" s="243" customFormat="1" ht="16">
      <c r="A31" s="1716"/>
      <c r="B31" s="1717"/>
      <c r="C31" s="1718"/>
      <c r="D31" s="1781" t="s">
        <v>341</v>
      </c>
      <c r="E31" s="1781"/>
      <c r="F31" s="1697" t="s">
        <v>342</v>
      </c>
      <c r="G31" s="1698"/>
    </row>
    <row r="32" spans="1:10" s="243" customFormat="1" ht="13" customHeight="1" thickBot="1">
      <c r="A32" s="1719"/>
      <c r="B32" s="1720"/>
      <c r="C32" s="1721"/>
      <c r="D32" s="1704">
        <v>40999</v>
      </c>
      <c r="E32" s="1705"/>
      <c r="F32" s="1695" t="str">
        <f>'Løntabel gældende fra'!$D$1</f>
        <v>01/04/2022</v>
      </c>
      <c r="G32" s="1696"/>
    </row>
    <row r="33" spans="1:10" s="243" customFormat="1" ht="16" customHeight="1">
      <c r="A33" s="1848" t="s">
        <v>158</v>
      </c>
      <c r="B33" s="1849"/>
      <c r="C33" s="1850"/>
      <c r="D33" s="1851">
        <f>D27*66%</f>
        <v>97.68</v>
      </c>
      <c r="E33" s="1852"/>
      <c r="F33" s="1851">
        <f>F27*66%</f>
        <v>110.78100000000001</v>
      </c>
      <c r="G33" s="1852"/>
    </row>
    <row r="34" spans="1:10" s="243" customFormat="1" ht="16" customHeight="1" thickBot="1">
      <c r="A34" s="1709" t="s">
        <v>159</v>
      </c>
      <c r="B34" s="1710"/>
      <c r="C34" s="1711"/>
      <c r="D34" s="1846">
        <f>D27*74%</f>
        <v>109.52</v>
      </c>
      <c r="E34" s="1847"/>
      <c r="F34" s="1846">
        <f>F27*74%</f>
        <v>124.20899999999999</v>
      </c>
      <c r="G34" s="1847"/>
    </row>
    <row r="35" spans="1:10" ht="15" customHeight="1" thickBot="1">
      <c r="A35" s="262"/>
      <c r="B35" s="261"/>
      <c r="C35" s="261"/>
      <c r="D35" s="261"/>
      <c r="E35" s="261"/>
      <c r="F35" s="261"/>
      <c r="G35" s="253"/>
      <c r="H35" s="252"/>
      <c r="I35" s="252"/>
      <c r="J35" s="243"/>
    </row>
    <row r="36" spans="1:10" ht="20" customHeight="1">
      <c r="A36" s="1174" t="s">
        <v>172</v>
      </c>
      <c r="B36" s="1175"/>
      <c r="C36" s="1175"/>
      <c r="D36" s="1175"/>
      <c r="E36" s="1175"/>
      <c r="F36" s="1175"/>
      <c r="G36" s="1175"/>
      <c r="H36" s="1175"/>
      <c r="I36" s="1176"/>
      <c r="J36" s="243"/>
    </row>
    <row r="37" spans="1:10" ht="20" customHeight="1" thickBot="1">
      <c r="A37" s="1263" t="s">
        <v>312</v>
      </c>
      <c r="B37" s="1264"/>
      <c r="C37" s="1264"/>
      <c r="D37" s="1264"/>
      <c r="E37" s="1264"/>
      <c r="F37" s="1264"/>
      <c r="G37" s="1264"/>
      <c r="H37" s="1264"/>
      <c r="I37" s="1265"/>
      <c r="J37" s="243"/>
    </row>
    <row r="38" spans="1:10" ht="27" customHeight="1" thickBot="1">
      <c r="A38" s="1867"/>
      <c r="B38" s="1868"/>
      <c r="C38" s="1868"/>
      <c r="D38" s="1868"/>
      <c r="E38" s="1868"/>
      <c r="F38" s="1868"/>
      <c r="G38" s="1868"/>
      <c r="H38" s="643" t="s">
        <v>341</v>
      </c>
      <c r="I38" s="646" t="s">
        <v>342</v>
      </c>
      <c r="J38" s="243"/>
    </row>
    <row r="39" spans="1:10" ht="15" customHeight="1" thickBot="1">
      <c r="A39" s="1812"/>
      <c r="B39" s="1813"/>
      <c r="C39" s="1813"/>
      <c r="D39" s="1813"/>
      <c r="E39" s="1813"/>
      <c r="F39" s="1813"/>
      <c r="G39" s="1814"/>
      <c r="H39" s="584">
        <v>40999</v>
      </c>
      <c r="I39" s="585" t="str">
        <f>'Løntabel gældende fra'!D1</f>
        <v>01/04/2022</v>
      </c>
      <c r="J39" s="243"/>
    </row>
    <row r="40" spans="1:10" ht="15" customHeight="1">
      <c r="A40" s="1815" t="s">
        <v>173</v>
      </c>
      <c r="B40" s="1816"/>
      <c r="C40" s="1816"/>
      <c r="D40" s="1816"/>
      <c r="E40" s="1816"/>
      <c r="F40" s="248"/>
      <c r="G40" s="250" t="s">
        <v>165</v>
      </c>
      <c r="H40" s="313">
        <v>22.32</v>
      </c>
      <c r="I40" s="939">
        <f>ROUND(H40+(H40*'Løntabel gældende fra'!$D$7%),2)</f>
        <v>25.31</v>
      </c>
      <c r="J40" s="243"/>
    </row>
    <row r="41" spans="1:10" ht="15" customHeight="1">
      <c r="A41" s="1823" t="s">
        <v>174</v>
      </c>
      <c r="B41" s="1824"/>
      <c r="C41" s="1824"/>
      <c r="D41" s="1824"/>
      <c r="E41" s="1824"/>
      <c r="F41" s="555"/>
      <c r="G41" s="251" t="s">
        <v>165</v>
      </c>
      <c r="H41" s="315">
        <v>39.92</v>
      </c>
      <c r="I41" s="940">
        <f>ROUND(H41+(H41*'Løntabel gældende fra'!$D$7%),2)</f>
        <v>45.27</v>
      </c>
      <c r="J41" s="243"/>
    </row>
    <row r="42" spans="1:10" ht="26" customHeight="1">
      <c r="A42" s="1815" t="s">
        <v>175</v>
      </c>
      <c r="B42" s="1816"/>
      <c r="C42" s="1816"/>
      <c r="D42" s="1816"/>
      <c r="E42" s="1816"/>
      <c r="F42" s="1816"/>
      <c r="G42" s="251" t="s">
        <v>165</v>
      </c>
      <c r="H42" s="315">
        <v>39.92</v>
      </c>
      <c r="I42" s="940">
        <f>ROUND(H42+(H42*'Løntabel gældende fra'!$D$7%),2)</f>
        <v>45.27</v>
      </c>
      <c r="J42" s="243"/>
    </row>
    <row r="43" spans="1:10" ht="15" customHeight="1" thickBot="1">
      <c r="A43" s="282" t="s">
        <v>164</v>
      </c>
      <c r="B43" s="281"/>
      <c r="C43" s="281"/>
      <c r="D43" s="281"/>
      <c r="E43" s="265"/>
      <c r="F43" s="265"/>
      <c r="G43" s="276" t="s">
        <v>165</v>
      </c>
      <c r="H43" s="317">
        <v>39.92</v>
      </c>
      <c r="I43" s="941">
        <f>ROUND(H43+(H43*'Løntabel gældende fra'!$D$7%),2)</f>
        <v>45.27</v>
      </c>
      <c r="J43" s="243"/>
    </row>
    <row r="44" spans="1:10" ht="15" customHeight="1" thickBot="1">
      <c r="A44" s="275"/>
      <c r="B44" s="275"/>
      <c r="C44" s="275"/>
      <c r="D44" s="275"/>
      <c r="E44" s="275"/>
      <c r="F44" s="275"/>
      <c r="G44" s="275"/>
      <c r="H44" s="234"/>
      <c r="I44" s="274"/>
      <c r="J44" s="243"/>
    </row>
    <row r="45" spans="1:10" ht="21" customHeight="1">
      <c r="A45" s="1174" t="s">
        <v>323</v>
      </c>
      <c r="B45" s="1175"/>
      <c r="C45" s="1175"/>
      <c r="D45" s="1175"/>
      <c r="E45" s="1175"/>
      <c r="F45" s="1175"/>
      <c r="G45" s="1175"/>
      <c r="H45" s="1175"/>
      <c r="I45" s="1176"/>
      <c r="J45" s="253"/>
    </row>
    <row r="46" spans="1:10" ht="21" customHeight="1" thickBot="1">
      <c r="A46" s="1263" t="s">
        <v>308</v>
      </c>
      <c r="B46" s="1264"/>
      <c r="C46" s="1264"/>
      <c r="D46" s="1264"/>
      <c r="E46" s="1264"/>
      <c r="F46" s="1264"/>
      <c r="G46" s="1264"/>
      <c r="H46" s="1264"/>
      <c r="I46" s="1265"/>
      <c r="J46" s="253"/>
    </row>
    <row r="47" spans="1:10" ht="27" customHeight="1" thickBot="1">
      <c r="A47" s="1869"/>
      <c r="B47" s="1870"/>
      <c r="C47" s="1870"/>
      <c r="D47" s="1870"/>
      <c r="E47" s="1870"/>
      <c r="F47" s="1870"/>
      <c r="G47" s="1871"/>
      <c r="H47" s="643" t="s">
        <v>341</v>
      </c>
      <c r="I47" s="646" t="s">
        <v>342</v>
      </c>
      <c r="J47" s="253"/>
    </row>
    <row r="48" spans="1:10" ht="15" customHeight="1" thickBot="1">
      <c r="A48" s="1869"/>
      <c r="B48" s="1870"/>
      <c r="C48" s="1870"/>
      <c r="D48" s="1870"/>
      <c r="E48" s="1870"/>
      <c r="F48" s="1870"/>
      <c r="G48" s="1871"/>
      <c r="H48" s="584">
        <v>40999</v>
      </c>
      <c r="I48" s="585" t="str">
        <f>'Løntabel gældende fra'!D1</f>
        <v>01/04/2022</v>
      </c>
      <c r="J48" s="253"/>
    </row>
    <row r="49" spans="1:10" ht="15" customHeight="1" thickBot="1">
      <c r="A49" s="1226" t="s">
        <v>177</v>
      </c>
      <c r="B49" s="1227"/>
      <c r="C49" s="1227"/>
      <c r="D49" s="1227"/>
      <c r="E49" s="1227"/>
      <c r="F49" s="586"/>
      <c r="G49" s="587" t="s">
        <v>165</v>
      </c>
      <c r="H49" s="319">
        <v>6.88</v>
      </c>
      <c r="I49" s="312">
        <f>ROUND(H49+(H49*'Løntabel gældende fra'!D7%),2)</f>
        <v>7.8</v>
      </c>
      <c r="J49" s="253"/>
    </row>
    <row r="50" spans="1:10" ht="15" customHeight="1" thickBot="1">
      <c r="A50" s="1881"/>
      <c r="B50" s="1881"/>
      <c r="C50" s="1881"/>
      <c r="D50" s="1881"/>
      <c r="E50" s="1881"/>
      <c r="F50" s="1881"/>
      <c r="G50" s="1881"/>
      <c r="H50" s="1881"/>
      <c r="I50" s="1881"/>
      <c r="J50" s="253"/>
    </row>
    <row r="51" spans="1:10" ht="21" customHeight="1">
      <c r="A51" s="1174" t="s">
        <v>178</v>
      </c>
      <c r="B51" s="1175"/>
      <c r="C51" s="1175"/>
      <c r="D51" s="1175"/>
      <c r="E51" s="1175"/>
      <c r="F51" s="1175"/>
      <c r="G51" s="1175"/>
      <c r="H51" s="1175"/>
      <c r="I51" s="1176"/>
      <c r="J51" s="253"/>
    </row>
    <row r="52" spans="1:10" ht="21" customHeight="1" thickBot="1">
      <c r="A52" s="1263" t="s">
        <v>312</v>
      </c>
      <c r="B52" s="1264"/>
      <c r="C52" s="1264"/>
      <c r="D52" s="1264"/>
      <c r="E52" s="1264"/>
      <c r="F52" s="1264"/>
      <c r="G52" s="1264"/>
      <c r="H52" s="1264"/>
      <c r="I52" s="1265"/>
      <c r="J52" s="253"/>
    </row>
    <row r="53" spans="1:10" ht="30" customHeight="1">
      <c r="A53" s="1875"/>
      <c r="B53" s="1876"/>
      <c r="C53" s="1876"/>
      <c r="D53" s="1876"/>
      <c r="E53" s="1876"/>
      <c r="F53" s="1876"/>
      <c r="G53" s="1877"/>
      <c r="H53" s="643" t="s">
        <v>131</v>
      </c>
      <c r="I53" s="644" t="s">
        <v>340</v>
      </c>
      <c r="J53" s="253"/>
    </row>
    <row r="54" spans="1:10" ht="15" customHeight="1" thickBot="1">
      <c r="A54" s="1878"/>
      <c r="B54" s="1879"/>
      <c r="C54" s="1879"/>
      <c r="D54" s="1879"/>
      <c r="E54" s="1879"/>
      <c r="F54" s="1879"/>
      <c r="G54" s="1880"/>
      <c r="H54" s="584">
        <v>40999</v>
      </c>
      <c r="I54" s="585" t="str">
        <f>'Løntabel gældende fra'!D1</f>
        <v>01/04/2022</v>
      </c>
      <c r="J54" s="253"/>
    </row>
    <row r="55" spans="1:10" ht="15" customHeight="1" thickBot="1">
      <c r="A55" s="1226" t="s">
        <v>191</v>
      </c>
      <c r="B55" s="1227"/>
      <c r="C55" s="1227"/>
      <c r="D55" s="1227"/>
      <c r="E55" s="1227"/>
      <c r="F55" s="586"/>
      <c r="G55" s="587"/>
      <c r="H55" s="319">
        <v>655</v>
      </c>
      <c r="I55" s="312">
        <f>ROUND(H55+(H55*'Løntabel gældende fra'!D7%),2)</f>
        <v>742.84</v>
      </c>
      <c r="J55" s="253"/>
    </row>
    <row r="56" spans="1:10" ht="15" customHeight="1" thickBot="1">
      <c r="A56" s="243"/>
      <c r="B56" s="243"/>
      <c r="C56" s="243"/>
      <c r="D56" s="243"/>
      <c r="E56" s="243"/>
      <c r="F56" s="244"/>
      <c r="G56" s="243"/>
      <c r="H56" s="244"/>
      <c r="I56" s="243"/>
      <c r="J56" s="253"/>
    </row>
    <row r="57" spans="1:10" ht="21" customHeight="1">
      <c r="A57" s="1174" t="s">
        <v>324</v>
      </c>
      <c r="B57" s="1175"/>
      <c r="C57" s="1175"/>
      <c r="D57" s="1175"/>
      <c r="E57" s="1175"/>
      <c r="F57" s="1175"/>
      <c r="G57" s="1175"/>
      <c r="H57" s="1175"/>
      <c r="I57" s="1176"/>
      <c r="J57" s="253"/>
    </row>
    <row r="58" spans="1:10" ht="21" customHeight="1" thickBot="1">
      <c r="A58" s="1263" t="s">
        <v>308</v>
      </c>
      <c r="B58" s="1264"/>
      <c r="C58" s="1264"/>
      <c r="D58" s="1264"/>
      <c r="E58" s="1264"/>
      <c r="F58" s="1264"/>
      <c r="G58" s="1264"/>
      <c r="H58" s="1264"/>
      <c r="I58" s="1265"/>
      <c r="J58" s="253"/>
    </row>
    <row r="59" spans="1:10" ht="15" customHeight="1">
      <c r="A59" s="1872" t="s">
        <v>181</v>
      </c>
      <c r="B59" s="1873"/>
      <c r="C59" s="1873"/>
      <c r="D59" s="1873"/>
      <c r="E59" s="1873"/>
      <c r="F59" s="1873"/>
      <c r="G59" s="1874"/>
      <c r="H59" s="582" t="s">
        <v>98</v>
      </c>
      <c r="I59" s="583" t="s">
        <v>103</v>
      </c>
      <c r="J59" s="253"/>
    </row>
    <row r="60" spans="1:10" ht="15" customHeight="1" thickBot="1">
      <c r="A60" s="1805"/>
      <c r="B60" s="1806"/>
      <c r="C60" s="1806"/>
      <c r="D60" s="1806"/>
      <c r="E60" s="1806"/>
      <c r="F60" s="1806"/>
      <c r="G60" s="1807"/>
      <c r="H60" s="584">
        <v>40999</v>
      </c>
      <c r="I60" s="585" t="str">
        <f>'Løntabel gældende fra'!D1</f>
        <v>01/04/2022</v>
      </c>
      <c r="J60" s="253"/>
    </row>
    <row r="61" spans="1:10" ht="15" customHeight="1" thickBot="1">
      <c r="A61" s="1808" t="s">
        <v>180</v>
      </c>
      <c r="B61" s="1809"/>
      <c r="C61" s="1809"/>
      <c r="D61" s="1809"/>
      <c r="E61" s="1809"/>
      <c r="F61" s="249"/>
      <c r="G61" s="260"/>
      <c r="H61" s="319">
        <v>0</v>
      </c>
      <c r="I61" s="312">
        <v>0</v>
      </c>
      <c r="J61" s="253"/>
    </row>
    <row r="62" spans="1:10" ht="15" customHeight="1" thickBot="1">
      <c r="A62" s="243"/>
      <c r="B62" s="243"/>
      <c r="C62" s="243"/>
      <c r="D62" s="243"/>
      <c r="E62" s="243"/>
      <c r="F62" s="244"/>
      <c r="G62" s="243"/>
      <c r="H62" s="244"/>
      <c r="I62" s="243"/>
      <c r="J62" s="253"/>
    </row>
    <row r="63" spans="1:10" s="253" customFormat="1" ht="18">
      <c r="A63" s="1174" t="s">
        <v>325</v>
      </c>
      <c r="B63" s="1175"/>
      <c r="C63" s="1175"/>
      <c r="D63" s="1175"/>
      <c r="E63" s="1175"/>
      <c r="F63" s="1175"/>
      <c r="G63" s="1175"/>
      <c r="H63" s="1175"/>
      <c r="I63" s="1176"/>
    </row>
    <row r="64" spans="1:10" s="253" customFormat="1" ht="17" thickBot="1">
      <c r="A64" s="1263" t="s">
        <v>308</v>
      </c>
      <c r="B64" s="1264"/>
      <c r="C64" s="1264"/>
      <c r="D64" s="1264"/>
      <c r="E64" s="1264"/>
      <c r="F64" s="1264"/>
      <c r="G64" s="1264"/>
      <c r="H64" s="1264"/>
      <c r="I64" s="1265"/>
    </row>
    <row r="65" spans="1:9" s="253" customFormat="1" ht="28">
      <c r="A65" s="1223"/>
      <c r="B65" s="1224"/>
      <c r="C65" s="1224"/>
      <c r="D65" s="1224"/>
      <c r="E65" s="1224"/>
      <c r="F65" s="1224"/>
      <c r="G65" s="1225"/>
      <c r="H65" s="643" t="s">
        <v>131</v>
      </c>
      <c r="I65" s="644" t="s">
        <v>340</v>
      </c>
    </row>
    <row r="66" spans="1:9" s="253" customFormat="1" ht="15" thickBot="1">
      <c r="A66" s="1872"/>
      <c r="B66" s="1873"/>
      <c r="C66" s="1873"/>
      <c r="D66" s="1873"/>
      <c r="E66" s="1873"/>
      <c r="F66" s="1873"/>
      <c r="G66" s="1874"/>
      <c r="H66" s="584">
        <v>40999</v>
      </c>
      <c r="I66" s="585" t="str">
        <f>'Løntabel gældende fra'!D1</f>
        <v>01/04/2022</v>
      </c>
    </row>
    <row r="67" spans="1:9" s="253" customFormat="1" ht="15" thickBot="1">
      <c r="A67" s="1226" t="s">
        <v>184</v>
      </c>
      <c r="B67" s="1227"/>
      <c r="C67" s="1227"/>
      <c r="D67" s="1227"/>
      <c r="E67" s="1227"/>
      <c r="F67" s="586"/>
      <c r="G67" s="587"/>
      <c r="H67" s="319">
        <v>10500</v>
      </c>
      <c r="I67" s="320">
        <f>ROUND(H67+(H67*'Løntabel gældende fra'!D7%),2)</f>
        <v>11908.09</v>
      </c>
    </row>
    <row r="68" spans="1:9" s="280" customFormat="1" ht="14">
      <c r="A68" s="277"/>
      <c r="B68" s="277"/>
      <c r="C68" s="277"/>
      <c r="D68" s="277"/>
      <c r="E68" s="277"/>
      <c r="F68" s="264"/>
      <c r="G68" s="264"/>
      <c r="H68" s="278"/>
      <c r="I68" s="279"/>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3" customWidth="1"/>
    <col min="8" max="8" width="14" style="223" customWidth="1"/>
    <col min="9" max="10" width="12.6640625" style="223" customWidth="1"/>
    <col min="11" max="11" width="8.83203125" style="223"/>
    <col min="12" max="12" width="11.33203125" style="223" bestFit="1" customWidth="1"/>
    <col min="13" max="16384" width="8.83203125" style="223"/>
  </cols>
  <sheetData>
    <row r="1" spans="1:14" ht="20">
      <c r="A1" s="1266" t="s">
        <v>19</v>
      </c>
      <c r="B1" s="1267"/>
      <c r="C1" s="1267"/>
      <c r="D1" s="1267"/>
      <c r="E1" s="1267"/>
      <c r="F1" s="1267"/>
      <c r="G1" s="1267"/>
      <c r="H1" s="1267"/>
      <c r="I1" s="1268"/>
    </row>
    <row r="2" spans="1:14" ht="39" customHeight="1">
      <c r="A2" s="1825" t="s">
        <v>190</v>
      </c>
      <c r="B2" s="1826"/>
      <c r="C2" s="1826"/>
      <c r="D2" s="1826"/>
      <c r="E2" s="1826"/>
      <c r="F2" s="1826"/>
      <c r="G2" s="1826"/>
      <c r="H2" s="1826"/>
      <c r="I2" s="1827"/>
    </row>
    <row r="3" spans="1:14" ht="20">
      <c r="A3" s="1279" t="str">
        <f>'Forside 1'!A6:I6</f>
        <v>Gældende fra 1. august 2022</v>
      </c>
      <c r="B3" s="1280"/>
      <c r="C3" s="1280"/>
      <c r="D3" s="1280"/>
      <c r="E3" s="1280"/>
      <c r="F3" s="1280"/>
      <c r="G3" s="1280"/>
      <c r="H3" s="1280"/>
      <c r="I3" s="1281"/>
    </row>
    <row r="4" spans="1:14" s="326" customFormat="1" ht="34" customHeight="1" thickBot="1">
      <c r="A4" s="1892" t="s">
        <v>331</v>
      </c>
      <c r="B4" s="1893"/>
      <c r="C4" s="1893"/>
      <c r="D4" s="1893"/>
      <c r="E4" s="1893"/>
      <c r="F4" s="1893"/>
      <c r="G4" s="1893"/>
      <c r="H4" s="1893"/>
      <c r="I4" s="1894"/>
    </row>
    <row r="5" spans="1:14" ht="14">
      <c r="A5" s="243"/>
      <c r="B5" s="243"/>
      <c r="C5" s="243"/>
      <c r="D5" s="243"/>
      <c r="E5" s="243"/>
      <c r="F5" s="243"/>
      <c r="G5" s="243"/>
      <c r="H5" s="243"/>
      <c r="I5" s="243"/>
      <c r="J5" s="243"/>
    </row>
    <row r="6" spans="1:14" ht="15" thickBot="1">
      <c r="A6" s="243"/>
      <c r="B6" s="243"/>
      <c r="C6" s="243"/>
      <c r="D6" s="243"/>
      <c r="E6" s="243"/>
      <c r="F6" s="243"/>
      <c r="G6" s="243"/>
      <c r="H6" s="243"/>
      <c r="I6" s="243"/>
      <c r="J6" s="243"/>
    </row>
    <row r="7" spans="1:14" s="253" customFormat="1" ht="19" thickBot="1">
      <c r="A7" s="1699" t="s">
        <v>306</v>
      </c>
      <c r="B7" s="1700"/>
      <c r="C7" s="1700"/>
      <c r="D7" s="1700"/>
      <c r="E7" s="1700"/>
      <c r="F7" s="1701"/>
      <c r="G7" s="1699" t="s">
        <v>168</v>
      </c>
      <c r="H7" s="1700"/>
      <c r="I7" s="1701"/>
      <c r="J7" s="749"/>
    </row>
    <row r="8" spans="1:14" s="253" customFormat="1" ht="15">
      <c r="A8" s="549" t="s">
        <v>57</v>
      </c>
      <c r="B8" s="550" t="s">
        <v>75</v>
      </c>
      <c r="C8" s="550" t="s">
        <v>76</v>
      </c>
      <c r="D8" s="550" t="s">
        <v>77</v>
      </c>
      <c r="E8" s="550" t="s">
        <v>78</v>
      </c>
      <c r="F8" s="550" t="s">
        <v>79</v>
      </c>
      <c r="G8" s="1886" t="s">
        <v>423</v>
      </c>
      <c r="H8" s="1887"/>
      <c r="I8" s="750">
        <v>0.14000000000000001</v>
      </c>
    </row>
    <row r="9" spans="1:14" s="253" customFormat="1" ht="14" customHeight="1">
      <c r="A9" s="292" t="s">
        <v>230</v>
      </c>
      <c r="B9" s="498" t="e">
        <f>'Statens skalatrin'!D46+('3f (DFF, DPS, LS, DSSV)'!#REF!/12)</f>
        <v>#REF!</v>
      </c>
      <c r="C9" s="498" t="e">
        <f>'Statens skalatrin'!F46+('3f (DFF, DPS, LS, DSSV)'!#REF!/12)</f>
        <v>#REF!</v>
      </c>
      <c r="D9" s="498" t="e">
        <f>'Statens skalatrin'!H46+('3f (DFF, DPS, LS, DSSV)'!#REF!/12)</f>
        <v>#REF!</v>
      </c>
      <c r="E9" s="498" t="e">
        <f>'Statens skalatrin'!J46+('3f (DFF, DPS, LS, DSSV)'!#REF!/12)</f>
        <v>#REF!</v>
      </c>
      <c r="F9" s="498" t="e">
        <f>'Statens skalatrin'!L46+('3f (DFF, DPS, LS, DSSV)'!#REF!/12)</f>
        <v>#REF!</v>
      </c>
      <c r="G9" s="1888">
        <f>'Statens skalatrin'!O46</f>
        <v>20112.32</v>
      </c>
      <c r="H9" s="1889"/>
      <c r="I9" s="360">
        <f>G9*$I$8</f>
        <v>2815.7248000000004</v>
      </c>
      <c r="J9" s="256"/>
      <c r="K9" s="252"/>
    </row>
    <row r="10" spans="1:14" s="253" customFormat="1" ht="15" customHeight="1">
      <c r="A10" s="292">
        <v>17</v>
      </c>
      <c r="B10" s="498">
        <f>'Statens skalatrin'!D55</f>
        <v>22588.080000000002</v>
      </c>
      <c r="C10" s="498">
        <f>'Statens skalatrin'!F55</f>
        <v>23070.92</v>
      </c>
      <c r="D10" s="498">
        <f>'Statens skalatrin'!H55</f>
        <v>23405.17</v>
      </c>
      <c r="E10" s="498">
        <f>'Statens skalatrin'!J55</f>
        <v>23887.919999999998</v>
      </c>
      <c r="F10" s="498">
        <f>'Statens skalatrin'!L55</f>
        <v>24222</v>
      </c>
      <c r="G10" s="1888">
        <f>'Statens skalatrin'!O55</f>
        <v>21214.74</v>
      </c>
      <c r="H10" s="1889"/>
      <c r="I10" s="360">
        <f>G10*$I$8</f>
        <v>2970.0636000000004</v>
      </c>
      <c r="J10" s="256"/>
      <c r="K10" s="252"/>
    </row>
    <row r="11" spans="1:14" s="253" customFormat="1" ht="15" customHeight="1" thickBot="1">
      <c r="A11" s="293" t="s">
        <v>169</v>
      </c>
      <c r="B11" s="499" t="e">
        <f>'Statens skalatrin'!D64+('3f (DFF, DPS, LS, DSSV)'!#REF!/12)</f>
        <v>#REF!</v>
      </c>
      <c r="C11" s="499" t="e">
        <f>'Statens skalatrin'!F64+('3f (DFF, DPS, LS, DSSV)'!#REF!/12)</f>
        <v>#REF!</v>
      </c>
      <c r="D11" s="499" t="e">
        <f>'Statens skalatrin'!H64+('3f (DFF, DPS, LS, DSSV)'!#REF!/12)</f>
        <v>#REF!</v>
      </c>
      <c r="E11" s="499" t="e">
        <f>'Statens skalatrin'!J64+('3f (DFF, DPS, LS, DSSV)'!#REF!/12)</f>
        <v>#REF!</v>
      </c>
      <c r="F11" s="499" t="e">
        <f>'Statens skalatrin'!L64+('3f (DFF, DPS, LS, DSSV)'!#REF!/12)</f>
        <v>#REF!</v>
      </c>
      <c r="G11" s="1890">
        <f>'Statens skalatrin'!O64</f>
        <v>22410.799999999999</v>
      </c>
      <c r="H11" s="1891"/>
      <c r="I11" s="361">
        <f>G11*$I$8</f>
        <v>3137.5120000000002</v>
      </c>
      <c r="J11" s="256"/>
      <c r="K11" s="252"/>
      <c r="N11" s="255"/>
    </row>
    <row r="12" spans="1:14" s="253" customFormat="1" ht="14">
      <c r="B12" s="254"/>
      <c r="C12" s="254"/>
      <c r="D12" s="254"/>
      <c r="E12" s="254"/>
      <c r="F12" s="254"/>
    </row>
    <row r="13" spans="1:14" s="253" customFormat="1" ht="15" thickBot="1">
      <c r="B13" s="254"/>
      <c r="C13" s="254"/>
      <c r="D13" s="254"/>
      <c r="E13" s="254"/>
      <c r="F13" s="254"/>
    </row>
    <row r="14" spans="1:14" s="253" customFormat="1" ht="19" thickBot="1">
      <c r="A14" s="1699" t="s">
        <v>307</v>
      </c>
      <c r="B14" s="1700"/>
      <c r="C14" s="1700"/>
      <c r="D14" s="1700"/>
      <c r="E14" s="1700"/>
      <c r="F14" s="1701"/>
    </row>
    <row r="15" spans="1:14" s="253" customFormat="1" ht="15" customHeight="1" thickBot="1">
      <c r="A15" s="1907" t="s">
        <v>171</v>
      </c>
      <c r="B15" s="1908"/>
      <c r="C15" s="1908"/>
      <c r="D15" s="1908"/>
      <c r="E15" s="1908"/>
      <c r="F15" s="1909"/>
    </row>
    <row r="16" spans="1:14" s="253" customFormat="1" ht="16" customHeight="1">
      <c r="A16" s="461" t="s">
        <v>57</v>
      </c>
      <c r="B16" s="462" t="s">
        <v>75</v>
      </c>
      <c r="C16" s="461" t="s">
        <v>76</v>
      </c>
      <c r="D16" s="462" t="s">
        <v>77</v>
      </c>
      <c r="E16" s="461" t="s">
        <v>78</v>
      </c>
      <c r="F16" s="463" t="s">
        <v>79</v>
      </c>
    </row>
    <row r="17" spans="1:12" s="253" customFormat="1" ht="16" customHeight="1" thickBot="1">
      <c r="A17" s="266" t="s">
        <v>230</v>
      </c>
      <c r="B17" s="500" t="e">
        <f>B9*12/1924</f>
        <v>#REF!</v>
      </c>
      <c r="C17" s="501" t="e">
        <f>C9*12/1924</f>
        <v>#REF!</v>
      </c>
      <c r="D17" s="500" t="e">
        <f>D9*12/1924</f>
        <v>#REF!</v>
      </c>
      <c r="E17" s="501" t="e">
        <f>(E9*12)/1924</f>
        <v>#REF!</v>
      </c>
      <c r="F17" s="502" t="e">
        <f>(F9*12)/1924</f>
        <v>#REF!</v>
      </c>
      <c r="H17" s="252"/>
      <c r="I17" s="252"/>
      <c r="J17" s="252"/>
      <c r="K17" s="252"/>
      <c r="L17" s="252"/>
    </row>
    <row r="18" spans="1:12" s="253" customFormat="1" ht="16" customHeight="1">
      <c r="A18" s="262"/>
      <c r="B18" s="261"/>
      <c r="C18" s="261"/>
      <c r="D18" s="261"/>
      <c r="E18" s="261"/>
      <c r="F18" s="261"/>
      <c r="H18" s="252"/>
      <c r="I18" s="252"/>
      <c r="J18" s="252"/>
      <c r="K18" s="252"/>
      <c r="L18" s="252"/>
    </row>
    <row r="19" spans="1:12" s="362" customFormat="1" ht="15" thickBot="1">
      <c r="A19" s="262"/>
      <c r="B19" s="261"/>
      <c r="C19" s="261"/>
      <c r="D19" s="261"/>
      <c r="E19" s="261"/>
      <c r="F19" s="261"/>
    </row>
    <row r="20" spans="1:12" ht="20" customHeight="1">
      <c r="A20" s="1174" t="s">
        <v>172</v>
      </c>
      <c r="B20" s="1175"/>
      <c r="C20" s="1175"/>
      <c r="D20" s="1175"/>
      <c r="E20" s="1175"/>
      <c r="F20" s="1175"/>
      <c r="G20" s="1175"/>
      <c r="H20" s="1175"/>
      <c r="I20" s="1176"/>
      <c r="J20" s="243"/>
    </row>
    <row r="21" spans="1:12" ht="20" customHeight="1" thickBot="1">
      <c r="A21" s="1263" t="s">
        <v>312</v>
      </c>
      <c r="B21" s="1264"/>
      <c r="C21" s="1264"/>
      <c r="D21" s="1264"/>
      <c r="E21" s="1264"/>
      <c r="F21" s="1264"/>
      <c r="G21" s="1264"/>
      <c r="H21" s="1264"/>
      <c r="I21" s="1265"/>
      <c r="J21" s="243"/>
    </row>
    <row r="22" spans="1:12" s="253" customFormat="1" ht="30" customHeight="1" thickBot="1">
      <c r="A22" s="1810"/>
      <c r="B22" s="1811"/>
      <c r="C22" s="1811"/>
      <c r="D22" s="1811"/>
      <c r="E22" s="1811"/>
      <c r="F22" s="1811"/>
      <c r="G22" s="1811"/>
      <c r="H22" s="647" t="s">
        <v>341</v>
      </c>
      <c r="I22" s="642" t="s">
        <v>342</v>
      </c>
    </row>
    <row r="23" spans="1:12" s="253" customFormat="1" ht="15" thickBot="1">
      <c r="A23" s="1869"/>
      <c r="B23" s="1870"/>
      <c r="C23" s="1870"/>
      <c r="D23" s="1870"/>
      <c r="E23" s="1870"/>
      <c r="F23" s="1870"/>
      <c r="G23" s="1871"/>
      <c r="H23" s="576">
        <v>40999</v>
      </c>
      <c r="I23" s="649" t="str">
        <f>'Løntabel gældende fra'!D1</f>
        <v>01/04/2022</v>
      </c>
    </row>
    <row r="24" spans="1:12" s="253" customFormat="1" ht="17" customHeight="1">
      <c r="A24" s="1905" t="s">
        <v>173</v>
      </c>
      <c r="B24" s="1906"/>
      <c r="C24" s="1906"/>
      <c r="D24" s="1906"/>
      <c r="E24" s="1906"/>
      <c r="F24" s="551"/>
      <c r="G24" s="552" t="s">
        <v>165</v>
      </c>
      <c r="H24" s="171">
        <v>22.32</v>
      </c>
      <c r="I24" s="556">
        <f>H24+(H24*'Løntabel gældende fra'!$D$7%)</f>
        <v>25.313201280000001</v>
      </c>
    </row>
    <row r="25" spans="1:12" s="253" customFormat="1" ht="17" customHeight="1">
      <c r="A25" s="1823" t="s">
        <v>174</v>
      </c>
      <c r="B25" s="1824"/>
      <c r="C25" s="1824"/>
      <c r="D25" s="1824"/>
      <c r="E25" s="1824"/>
      <c r="F25" s="557"/>
      <c r="G25" s="251" t="s">
        <v>165</v>
      </c>
      <c r="H25" s="192">
        <v>39.92</v>
      </c>
      <c r="I25" s="556">
        <f>H25+(H25*'Løntabel gældende fra'!$D$7%)</f>
        <v>45.273431680000002</v>
      </c>
    </row>
    <row r="26" spans="1:12" s="253" customFormat="1" ht="17" customHeight="1">
      <c r="A26" s="1815" t="s">
        <v>175</v>
      </c>
      <c r="B26" s="1816"/>
      <c r="C26" s="1816"/>
      <c r="D26" s="1816"/>
      <c r="E26" s="1816"/>
      <c r="F26" s="1816"/>
      <c r="G26" s="251" t="s">
        <v>165</v>
      </c>
      <c r="H26" s="192">
        <v>39.92</v>
      </c>
      <c r="I26" s="556">
        <f>H26+(H26*'Løntabel gældende fra'!$D$7%)</f>
        <v>45.273431680000002</v>
      </c>
    </row>
    <row r="27" spans="1:12" s="253" customFormat="1" ht="17" customHeight="1" thickBot="1">
      <c r="A27" s="282" t="s">
        <v>164</v>
      </c>
      <c r="B27" s="281"/>
      <c r="C27" s="281"/>
      <c r="D27" s="281"/>
      <c r="E27" s="265"/>
      <c r="F27" s="265"/>
      <c r="G27" s="276" t="s">
        <v>165</v>
      </c>
      <c r="H27" s="172">
        <v>39.92</v>
      </c>
      <c r="I27" s="558">
        <f>H27+(H27*'Løntabel gældende fra'!$D$7%)</f>
        <v>45.273431680000002</v>
      </c>
    </row>
    <row r="28" spans="1:12" s="253" customFormat="1" ht="14">
      <c r="A28" s="243"/>
      <c r="B28" s="243"/>
      <c r="C28" s="243"/>
      <c r="D28" s="243"/>
      <c r="E28" s="243"/>
      <c r="F28" s="244"/>
      <c r="G28" s="243"/>
      <c r="H28" s="244"/>
      <c r="I28" s="243"/>
    </row>
    <row r="29" spans="1:12" s="253" customFormat="1" ht="15" thickBot="1">
      <c r="A29" s="243"/>
      <c r="B29" s="243"/>
      <c r="C29" s="243"/>
      <c r="D29" s="243"/>
      <c r="E29" s="243"/>
      <c r="F29" s="244"/>
      <c r="G29" s="243"/>
      <c r="H29" s="244"/>
      <c r="I29" s="243"/>
    </row>
    <row r="30" spans="1:12" s="253" customFormat="1" ht="18">
      <c r="A30" s="1174" t="s">
        <v>176</v>
      </c>
      <c r="B30" s="1175"/>
      <c r="C30" s="1175"/>
      <c r="D30" s="1175"/>
      <c r="E30" s="1175"/>
      <c r="F30" s="1175"/>
      <c r="G30" s="1175"/>
      <c r="H30" s="1175"/>
      <c r="I30" s="1176"/>
    </row>
    <row r="31" spans="1:12" s="253" customFormat="1" ht="17" thickBot="1">
      <c r="A31" s="1263" t="s">
        <v>308</v>
      </c>
      <c r="B31" s="1264"/>
      <c r="C31" s="1264"/>
      <c r="D31" s="1264"/>
      <c r="E31" s="1264"/>
      <c r="F31" s="1264"/>
      <c r="G31" s="1264"/>
      <c r="H31" s="1264"/>
      <c r="I31" s="1265"/>
    </row>
    <row r="32" spans="1:12" s="253" customFormat="1" ht="31" thickBot="1">
      <c r="A32" s="1869"/>
      <c r="B32" s="1870"/>
      <c r="C32" s="1870"/>
      <c r="D32" s="1870"/>
      <c r="E32" s="1870"/>
      <c r="F32" s="1870"/>
      <c r="G32" s="1871"/>
      <c r="H32" s="647" t="s">
        <v>341</v>
      </c>
      <c r="I32" s="642" t="s">
        <v>342</v>
      </c>
    </row>
    <row r="33" spans="1:9" s="253" customFormat="1" ht="15" thickBot="1">
      <c r="A33" s="1902"/>
      <c r="B33" s="1903"/>
      <c r="C33" s="1903"/>
      <c r="D33" s="1903"/>
      <c r="E33" s="1903"/>
      <c r="F33" s="1903"/>
      <c r="G33" s="1904"/>
      <c r="H33" s="576">
        <v>40999</v>
      </c>
      <c r="I33" s="649" t="str">
        <f>'Løntabel gældende fra'!D1</f>
        <v>01/04/2022</v>
      </c>
    </row>
    <row r="34" spans="1:9" s="253" customFormat="1" ht="16" thickBot="1">
      <c r="A34" s="1226" t="s">
        <v>298</v>
      </c>
      <c r="B34" s="1227"/>
      <c r="C34" s="1227"/>
      <c r="D34" s="1227"/>
      <c r="E34" s="1227"/>
      <c r="F34" s="586"/>
      <c r="G34" s="587" t="s">
        <v>165</v>
      </c>
      <c r="H34" s="173">
        <v>6.88</v>
      </c>
      <c r="I34" s="543">
        <f>H34+(H34*'Løntabel gældende fra'!D7%)</f>
        <v>7.8026355199999999</v>
      </c>
    </row>
    <row r="35" spans="1:9" s="253" customFormat="1" ht="14">
      <c r="A35" s="243"/>
      <c r="B35" s="243"/>
      <c r="C35" s="243"/>
      <c r="D35" s="243"/>
      <c r="E35" s="243"/>
      <c r="F35" s="244"/>
      <c r="G35" s="243"/>
      <c r="H35" s="244"/>
      <c r="I35" s="243"/>
    </row>
    <row r="36" spans="1:9" s="253" customFormat="1" ht="15" thickBot="1">
      <c r="A36" s="243"/>
      <c r="B36" s="243"/>
      <c r="C36" s="243"/>
      <c r="D36" s="243"/>
      <c r="E36" s="243"/>
      <c r="F36" s="244"/>
      <c r="G36" s="243"/>
      <c r="H36" s="244"/>
      <c r="I36" s="243"/>
    </row>
    <row r="37" spans="1:9" s="253" customFormat="1" ht="18">
      <c r="A37" s="1174" t="s">
        <v>326</v>
      </c>
      <c r="B37" s="1175"/>
      <c r="C37" s="1175"/>
      <c r="D37" s="1175"/>
      <c r="E37" s="1175"/>
      <c r="F37" s="1175"/>
      <c r="G37" s="1175"/>
      <c r="H37" s="1175"/>
      <c r="I37" s="1176"/>
    </row>
    <row r="38" spans="1:9" s="253" customFormat="1" ht="17" thickBot="1">
      <c r="A38" s="1895" t="s">
        <v>312</v>
      </c>
      <c r="B38" s="1896"/>
      <c r="C38" s="1896"/>
      <c r="D38" s="1896"/>
      <c r="E38" s="1896"/>
      <c r="F38" s="1896"/>
      <c r="G38" s="1896"/>
      <c r="H38" s="1896"/>
      <c r="I38" s="1897"/>
    </row>
    <row r="39" spans="1:9" s="253" customFormat="1" ht="33" customHeight="1">
      <c r="A39" s="1875"/>
      <c r="B39" s="1876"/>
      <c r="C39" s="1876"/>
      <c r="D39" s="1876"/>
      <c r="E39" s="1876"/>
      <c r="F39" s="1876"/>
      <c r="G39" s="1877"/>
      <c r="H39" s="645" t="s">
        <v>131</v>
      </c>
      <c r="I39" s="641" t="s">
        <v>340</v>
      </c>
    </row>
    <row r="40" spans="1:9" s="253" customFormat="1" ht="15" thickBot="1">
      <c r="A40" s="1899"/>
      <c r="B40" s="1900"/>
      <c r="C40" s="1900"/>
      <c r="D40" s="1900"/>
      <c r="E40" s="1900"/>
      <c r="F40" s="1900"/>
      <c r="G40" s="1901"/>
      <c r="H40" s="576">
        <v>40999</v>
      </c>
      <c r="I40" s="649" t="str">
        <f>'Løntabel gældende fra'!D1</f>
        <v>01/04/2022</v>
      </c>
    </row>
    <row r="41" spans="1:9" s="253" customFormat="1" ht="15" thickBot="1">
      <c r="A41" s="1226" t="s">
        <v>299</v>
      </c>
      <c r="B41" s="1227"/>
      <c r="C41" s="1227"/>
      <c r="D41" s="1227"/>
      <c r="E41" s="1227"/>
      <c r="F41" s="586"/>
      <c r="G41" s="587"/>
      <c r="H41" s="173">
        <v>655</v>
      </c>
      <c r="I41" s="543">
        <f>H41+(H41*'Løntabel gældende fra'!D7%)</f>
        <v>742.83812</v>
      </c>
    </row>
    <row r="42" spans="1:9" s="253" customFormat="1" ht="14">
      <c r="A42" s="243"/>
      <c r="B42" s="243"/>
      <c r="C42" s="243"/>
      <c r="D42" s="243"/>
      <c r="E42" s="243"/>
      <c r="F42" s="244"/>
      <c r="G42" s="243"/>
      <c r="H42" s="244"/>
      <c r="I42" s="243"/>
    </row>
    <row r="43" spans="1:9" s="253" customFormat="1" ht="15" thickBot="1">
      <c r="A43" s="243"/>
      <c r="B43" s="243"/>
      <c r="C43" s="243"/>
      <c r="D43" s="243"/>
      <c r="E43" s="243"/>
      <c r="F43" s="244"/>
      <c r="G43" s="243"/>
      <c r="H43" s="244"/>
      <c r="I43" s="243"/>
    </row>
    <row r="44" spans="1:9" s="253" customFormat="1" ht="18">
      <c r="A44" s="1174" t="s">
        <v>325</v>
      </c>
      <c r="B44" s="1175"/>
      <c r="C44" s="1175"/>
      <c r="D44" s="1175"/>
      <c r="E44" s="1175"/>
      <c r="F44" s="1175"/>
      <c r="G44" s="1175"/>
      <c r="H44" s="1175"/>
      <c r="I44" s="1176"/>
    </row>
    <row r="45" spans="1:9" s="253" customFormat="1" ht="17" thickBot="1">
      <c r="A45" s="1895" t="s">
        <v>308</v>
      </c>
      <c r="B45" s="1896"/>
      <c r="C45" s="1896"/>
      <c r="D45" s="1896"/>
      <c r="E45" s="1896"/>
      <c r="F45" s="1896"/>
      <c r="G45" s="1896"/>
      <c r="H45" s="1896"/>
      <c r="I45" s="1897"/>
    </row>
    <row r="46" spans="1:9" s="253" customFormat="1" ht="30">
      <c r="A46" s="1223"/>
      <c r="B46" s="1224"/>
      <c r="C46" s="1224"/>
      <c r="D46" s="1224"/>
      <c r="E46" s="1224"/>
      <c r="F46" s="1224"/>
      <c r="G46" s="1225"/>
      <c r="H46" s="645" t="s">
        <v>131</v>
      </c>
      <c r="I46" s="641" t="s">
        <v>340</v>
      </c>
    </row>
    <row r="47" spans="1:9" s="253" customFormat="1" ht="15" thickBot="1">
      <c r="A47" s="1226"/>
      <c r="B47" s="1227"/>
      <c r="C47" s="1227"/>
      <c r="D47" s="1227"/>
      <c r="E47" s="1227"/>
      <c r="F47" s="1227"/>
      <c r="G47" s="1228"/>
      <c r="H47" s="576">
        <v>40999</v>
      </c>
      <c r="I47" s="649" t="str">
        <f>'Løntabel gældende fra'!D1</f>
        <v>01/04/2022</v>
      </c>
    </row>
    <row r="48" spans="1:9" s="253" customFormat="1" ht="15" thickBot="1">
      <c r="A48" s="1226" t="s">
        <v>184</v>
      </c>
      <c r="B48" s="1227"/>
      <c r="C48" s="1227"/>
      <c r="D48" s="1227"/>
      <c r="E48" s="1227"/>
      <c r="F48" s="586"/>
      <c r="G48" s="587"/>
      <c r="H48" s="173">
        <v>10500</v>
      </c>
      <c r="I48" s="543">
        <f>H48+(H48*'Løntabel gældende fra'!D7%)</f>
        <v>11908.092000000001</v>
      </c>
    </row>
    <row r="49" spans="1:10" s="253" customFormat="1" ht="14"/>
    <row r="50" spans="1:10" s="253" customFormat="1" ht="15" thickBot="1"/>
    <row r="51" spans="1:10" s="253" customFormat="1" ht="18">
      <c r="A51" s="1174" t="s">
        <v>324</v>
      </c>
      <c r="B51" s="1175"/>
      <c r="C51" s="1175"/>
      <c r="D51" s="1175"/>
      <c r="E51" s="1175"/>
      <c r="F51" s="1175"/>
      <c r="G51" s="1175"/>
      <c r="H51" s="1175"/>
      <c r="I51" s="1176"/>
    </row>
    <row r="52" spans="1:10" s="253" customFormat="1" ht="17" thickBot="1">
      <c r="A52" s="1263" t="s">
        <v>308</v>
      </c>
      <c r="B52" s="1264"/>
      <c r="C52" s="1264"/>
      <c r="D52" s="1264"/>
      <c r="E52" s="1264"/>
      <c r="F52" s="1264"/>
      <c r="G52" s="1264"/>
      <c r="H52" s="1264"/>
      <c r="I52" s="1265"/>
    </row>
    <row r="53" spans="1:10" s="253" customFormat="1" ht="14">
      <c r="A53" s="1872" t="s">
        <v>402</v>
      </c>
      <c r="B53" s="1873"/>
      <c r="C53" s="1873"/>
      <c r="D53" s="1873"/>
      <c r="E53" s="1873"/>
      <c r="F53" s="1873"/>
      <c r="G53" s="1874"/>
      <c r="H53" s="582" t="s">
        <v>98</v>
      </c>
      <c r="I53" s="583" t="s">
        <v>103</v>
      </c>
    </row>
    <row r="54" spans="1:10" s="253" customFormat="1" ht="15" thickBot="1">
      <c r="A54" s="1805"/>
      <c r="B54" s="1806"/>
      <c r="C54" s="1806"/>
      <c r="D54" s="1806"/>
      <c r="E54" s="1806"/>
      <c r="F54" s="1806"/>
      <c r="G54" s="1807"/>
      <c r="H54" s="584">
        <v>40999</v>
      </c>
      <c r="I54" s="649" t="str">
        <f>'Løntabel gældende fra'!D1</f>
        <v>01/04/2022</v>
      </c>
    </row>
    <row r="55" spans="1:10" s="253" customFormat="1" ht="15" thickBot="1">
      <c r="A55" s="1808" t="s">
        <v>305</v>
      </c>
      <c r="B55" s="1809"/>
      <c r="C55" s="1809"/>
      <c r="D55" s="1809"/>
      <c r="E55" s="1809"/>
      <c r="F55" s="249"/>
      <c r="G55" s="260"/>
      <c r="H55" s="319">
        <v>0</v>
      </c>
      <c r="I55" s="312">
        <v>0</v>
      </c>
    </row>
    <row r="56" spans="1:10" s="253" customFormat="1" ht="14"/>
    <row r="57" spans="1:10" s="253" customFormat="1" ht="14">
      <c r="A57" s="1898"/>
      <c r="B57" s="1898"/>
      <c r="C57" s="1898"/>
      <c r="D57" s="1898"/>
      <c r="E57" s="1898"/>
      <c r="F57" s="1898"/>
      <c r="G57" s="1898"/>
      <c r="H57" s="1898"/>
      <c r="I57" s="1898"/>
      <c r="J57" s="1898"/>
    </row>
    <row r="58" spans="1:10" s="253" customFormat="1" ht="14">
      <c r="A58" s="544"/>
    </row>
    <row r="59" spans="1:10" s="253" customFormat="1" ht="14"/>
    <row r="60" spans="1:10" s="253" customFormat="1" ht="14"/>
    <row r="61" spans="1:10" s="253" customFormat="1" ht="14"/>
    <row r="62" spans="1:10" s="253" customFormat="1" ht="14"/>
    <row r="72" s="253" customFormat="1" ht="14"/>
    <row r="73" s="253" customFormat="1" ht="14"/>
    <row r="74" s="253" customFormat="1" ht="14"/>
    <row r="75" s="253" customFormat="1" ht="14"/>
    <row r="76" s="253" customFormat="1" ht="14"/>
    <row r="77" s="253" customFormat="1" ht="14"/>
    <row r="78" s="253" customFormat="1" ht="14"/>
    <row r="79" s="253" customFormat="1" ht="14"/>
    <row r="80" s="253" customFormat="1" ht="14"/>
    <row r="81" s="253" customFormat="1" ht="14"/>
    <row r="82" s="253" customFormat="1" ht="14"/>
    <row r="83" s="253" customFormat="1" ht="14"/>
    <row r="84" s="253" customFormat="1" ht="14"/>
    <row r="85" s="253" customFormat="1" ht="14"/>
    <row r="86" s="253" customFormat="1" ht="14"/>
    <row r="87" s="253" customFormat="1" ht="14"/>
    <row r="88" s="253" customFormat="1" ht="14"/>
    <row r="89" s="253" customFormat="1" ht="14"/>
    <row r="90" s="253" customFormat="1" ht="14"/>
    <row r="91" s="253" customFormat="1" ht="14"/>
    <row r="92" s="253" customFormat="1" ht="14"/>
    <row r="93" s="253" customFormat="1" ht="14"/>
    <row r="94" s="253" customFormat="1" ht="14"/>
    <row r="95" s="253" customFormat="1" ht="14"/>
    <row r="96" s="253" customFormat="1" ht="14"/>
    <row r="97" s="253" customFormat="1" ht="14"/>
    <row r="98" s="253" customFormat="1" ht="14"/>
    <row r="99" s="253" customFormat="1" ht="14"/>
    <row r="100" s="253" customFormat="1" ht="14"/>
    <row r="101" s="253" customFormat="1" ht="14"/>
    <row r="102" s="253" customFormat="1" ht="14"/>
    <row r="103" s="253" customFormat="1" ht="14"/>
    <row r="104" s="253" customFormat="1" ht="14"/>
    <row r="105" s="253" customFormat="1" ht="14"/>
    <row r="106" s="253" customFormat="1" ht="14"/>
    <row r="107" s="253" customFormat="1" ht="14"/>
    <row r="108" s="253" customFormat="1" ht="14"/>
    <row r="109" s="253" customFormat="1" ht="14"/>
    <row r="110" s="253" customFormat="1" ht="14"/>
    <row r="111" s="253" customFormat="1" ht="14"/>
    <row r="112" s="253" customFormat="1" ht="14"/>
    <row r="113" s="253" customFormat="1" ht="14"/>
    <row r="114" s="253" customFormat="1" ht="14"/>
    <row r="115" s="253" customFormat="1" ht="14"/>
    <row r="116" s="253" customFormat="1" ht="14"/>
    <row r="117" s="253" customFormat="1" ht="14"/>
    <row r="118" s="253" customFormat="1" ht="14"/>
    <row r="119" s="253" customFormat="1" ht="14"/>
    <row r="120" s="253" customFormat="1" ht="14"/>
    <row r="121" s="253" customFormat="1" ht="14"/>
    <row r="122" s="253" customFormat="1" ht="14"/>
    <row r="123" s="253" customFormat="1" ht="14"/>
    <row r="124" s="253" customFormat="1" ht="14"/>
    <row r="125" s="253" customFormat="1" ht="14"/>
    <row r="126" s="253" customFormat="1" ht="14"/>
    <row r="127" s="253" customFormat="1" ht="14"/>
    <row r="128" s="253" customFormat="1" ht="14"/>
    <row r="129" s="253" customFormat="1" ht="14"/>
    <row r="130" s="253" customFormat="1" ht="14"/>
    <row r="131" s="253" customFormat="1" ht="14"/>
    <row r="132" s="253" customFormat="1" ht="14"/>
    <row r="133" s="253" customFormat="1" ht="14"/>
    <row r="134" s="253" customFormat="1" ht="14"/>
    <row r="135" s="253" customFormat="1" ht="14"/>
    <row r="136" s="253" customFormat="1" ht="14"/>
    <row r="137" s="253" customFormat="1" ht="14"/>
    <row r="138" s="253" customFormat="1" ht="14"/>
    <row r="139" s="253" customFormat="1" ht="14"/>
    <row r="140" s="253" customFormat="1" ht="14"/>
    <row r="141" s="253" customFormat="1" ht="14"/>
    <row r="142" s="253" customFormat="1" ht="14"/>
    <row r="143" s="253" customFormat="1" ht="14"/>
    <row r="144" s="253" customFormat="1" ht="14"/>
    <row r="145" s="253" customFormat="1" ht="14"/>
    <row r="146" s="253" customFormat="1" ht="14"/>
    <row r="147" s="253" customFormat="1" ht="14"/>
    <row r="148" s="253" customFormat="1" ht="14"/>
    <row r="149" s="253" customFormat="1" ht="14"/>
    <row r="150" s="253" customFormat="1" ht="14"/>
    <row r="151" s="253" customFormat="1" ht="14"/>
    <row r="152" s="253" customFormat="1" ht="14"/>
    <row r="153" s="253"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41" workbookViewId="0">
      <selection activeCell="A48" sqref="A48:J53"/>
    </sheetView>
  </sheetViews>
  <sheetFormatPr baseColWidth="10" defaultColWidth="8.83203125" defaultRowHeight="13"/>
  <cols>
    <col min="1" max="2" width="11.6640625" style="223" customWidth="1"/>
    <col min="3" max="4" width="13.83203125" style="223" customWidth="1"/>
    <col min="5" max="5" width="13.83203125" style="224" customWidth="1"/>
    <col min="6" max="6" width="13.83203125" style="223" customWidth="1"/>
    <col min="7" max="8" width="13.83203125" style="225" customWidth="1"/>
    <col min="9" max="10" width="13.83203125" style="223" customWidth="1"/>
    <col min="11" max="11" width="11.6640625" style="223" customWidth="1"/>
    <col min="12" max="16384" width="8.83203125" style="223"/>
  </cols>
  <sheetData>
    <row r="1" spans="1:10" s="2" customFormat="1" ht="22" customHeight="1">
      <c r="A1" s="1266" t="s">
        <v>19</v>
      </c>
      <c r="B1" s="1267"/>
      <c r="C1" s="1267"/>
      <c r="D1" s="1267"/>
      <c r="E1" s="1267"/>
      <c r="F1" s="1267"/>
      <c r="G1" s="1267"/>
      <c r="H1" s="1267"/>
      <c r="I1" s="1267"/>
      <c r="J1" s="1268"/>
    </row>
    <row r="2" spans="1:10" s="2" customFormat="1" ht="22" customHeight="1">
      <c r="A2" s="1279" t="s">
        <v>445</v>
      </c>
      <c r="B2" s="1280"/>
      <c r="C2" s="1280"/>
      <c r="D2" s="1280"/>
      <c r="E2" s="1280"/>
      <c r="F2" s="1280"/>
      <c r="G2" s="1280"/>
      <c r="H2" s="1280"/>
      <c r="I2" s="1280"/>
      <c r="J2" s="1281"/>
    </row>
    <row r="3" spans="1:10" s="588" customFormat="1" ht="25" customHeight="1">
      <c r="A3" s="1279" t="str">
        <f>'Forside 1'!A6:I6</f>
        <v>Gældende fra 1. august 2022</v>
      </c>
      <c r="B3" s="1280"/>
      <c r="C3" s="1280"/>
      <c r="D3" s="1280"/>
      <c r="E3" s="1280"/>
      <c r="F3" s="1280"/>
      <c r="G3" s="1280"/>
      <c r="H3" s="1280"/>
      <c r="I3" s="1280"/>
      <c r="J3" s="1281"/>
    </row>
    <row r="4" spans="1:10" s="628" customFormat="1" ht="25" customHeight="1">
      <c r="A4" s="1950" t="s">
        <v>491</v>
      </c>
      <c r="B4" s="1951"/>
      <c r="C4" s="1951"/>
      <c r="D4" s="1951"/>
      <c r="E4" s="1951"/>
      <c r="F4" s="1951"/>
      <c r="G4" s="1951"/>
      <c r="H4" s="1951"/>
      <c r="I4" s="1951"/>
      <c r="J4" s="1952"/>
    </row>
    <row r="5" spans="1:10" s="2" customFormat="1" ht="19" customHeight="1" thickBot="1">
      <c r="A5" s="1947" t="s">
        <v>492</v>
      </c>
      <c r="B5" s="1948"/>
      <c r="C5" s="1948"/>
      <c r="D5" s="1948"/>
      <c r="E5" s="1948"/>
      <c r="F5" s="1948"/>
      <c r="G5" s="1948"/>
      <c r="H5" s="1948"/>
      <c r="I5" s="1948"/>
      <c r="J5" s="1949"/>
    </row>
    <row r="6" spans="1:10" ht="21" thickBot="1">
      <c r="A6" s="1838"/>
      <c r="B6" s="1838"/>
      <c r="C6" s="1838"/>
      <c r="D6" s="1838"/>
      <c r="E6" s="1838"/>
      <c r="F6" s="1838"/>
      <c r="G6" s="1838"/>
      <c r="H6" s="1838"/>
    </row>
    <row r="7" spans="1:10" ht="18">
      <c r="A7" s="1828" t="s">
        <v>446</v>
      </c>
      <c r="B7" s="1829"/>
      <c r="C7" s="1829"/>
      <c r="D7" s="1829"/>
      <c r="E7" s="1829"/>
      <c r="F7" s="1829"/>
      <c r="G7" s="1829"/>
      <c r="H7" s="1829"/>
      <c r="I7" s="1829"/>
      <c r="J7" s="1830"/>
    </row>
    <row r="8" spans="1:10" ht="17" thickBot="1">
      <c r="A8" s="1924" t="s">
        <v>447</v>
      </c>
      <c r="B8" s="1925"/>
      <c r="C8" s="1925"/>
      <c r="D8" s="1925"/>
      <c r="E8" s="1925"/>
      <c r="F8" s="1925"/>
      <c r="G8" s="1925"/>
      <c r="H8" s="1925"/>
      <c r="I8" s="1925"/>
      <c r="J8" s="1926"/>
    </row>
    <row r="9" spans="1:10" ht="16" customHeight="1" thickBot="1">
      <c r="A9" s="1927" t="s">
        <v>458</v>
      </c>
      <c r="B9" s="1928"/>
      <c r="C9" s="1928"/>
      <c r="D9" s="1928"/>
      <c r="E9" s="1928"/>
      <c r="F9" s="1929"/>
      <c r="G9" s="1927" t="s">
        <v>168</v>
      </c>
      <c r="H9" s="1928"/>
      <c r="I9" s="1928"/>
      <c r="J9" s="1929"/>
    </row>
    <row r="10" spans="1:10" ht="30" customHeight="1" thickBot="1">
      <c r="A10" s="831" t="s">
        <v>57</v>
      </c>
      <c r="B10" s="832" t="s">
        <v>75</v>
      </c>
      <c r="C10" s="833" t="s">
        <v>76</v>
      </c>
      <c r="D10" s="833" t="s">
        <v>77</v>
      </c>
      <c r="E10" s="833" t="s">
        <v>78</v>
      </c>
      <c r="F10" s="834" t="s">
        <v>79</v>
      </c>
      <c r="G10" s="831" t="s">
        <v>185</v>
      </c>
      <c r="H10" s="851" t="s">
        <v>187</v>
      </c>
      <c r="I10" s="846" t="s">
        <v>188</v>
      </c>
      <c r="J10" s="960">
        <v>0.16</v>
      </c>
    </row>
    <row r="11" spans="1:10" ht="16" customHeight="1">
      <c r="A11" s="383">
        <v>9</v>
      </c>
      <c r="B11" s="828">
        <f>'Statens skalatrin'!D31</f>
        <v>19830.669999999998</v>
      </c>
      <c r="C11" s="829">
        <f>'Statens skalatrin'!F31</f>
        <v>20226.25</v>
      </c>
      <c r="D11" s="829">
        <f>'Statens skalatrin'!H31</f>
        <v>20500.419999999998</v>
      </c>
      <c r="E11" s="829">
        <f>'Statens skalatrin'!J31</f>
        <v>20896.080000000002</v>
      </c>
      <c r="F11" s="830">
        <f>'Statens skalatrin'!L31</f>
        <v>21170.17</v>
      </c>
      <c r="G11" s="958">
        <f>'Statens skalatrin'!O31</f>
        <v>18462.77</v>
      </c>
      <c r="H11" s="961">
        <f>J11*1/3</f>
        <v>984.68</v>
      </c>
      <c r="I11" s="962">
        <f>J11*2/3</f>
        <v>1969.36</v>
      </c>
      <c r="J11" s="963">
        <f>ROUND(G11*$J$10,2)</f>
        <v>2954.04</v>
      </c>
    </row>
    <row r="12" spans="1:10" ht="16" customHeight="1">
      <c r="A12" s="827">
        <v>10</v>
      </c>
      <c r="B12" s="825">
        <f>'Statens skalatrin'!D34</f>
        <v>20163.669999999998</v>
      </c>
      <c r="C12" s="810">
        <f>'Statens skalatrin'!F34</f>
        <v>20569.419999999998</v>
      </c>
      <c r="D12" s="810">
        <f>'Statens skalatrin'!H34</f>
        <v>20850.25</v>
      </c>
      <c r="E12" s="810">
        <f>'Statens skalatrin'!J34</f>
        <v>21255.83</v>
      </c>
      <c r="F12" s="815">
        <f>'Statens skalatrin'!L34</f>
        <v>21536.83</v>
      </c>
      <c r="G12" s="782">
        <f>'Statens skalatrin'!O34</f>
        <v>18775.04</v>
      </c>
      <c r="H12" s="964">
        <f t="shared" ref="H12:H16" si="0">J12*1/3</f>
        <v>1001.3366666666667</v>
      </c>
      <c r="I12" s="809">
        <f t="shared" ref="I12:I16" si="1">J12*2/3</f>
        <v>2002.6733333333334</v>
      </c>
      <c r="J12" s="835">
        <f t="shared" ref="J12:J16" si="2">ROUND(G12*$J$10,2)</f>
        <v>3004.01</v>
      </c>
    </row>
    <row r="13" spans="1:10" ht="16" customHeight="1">
      <c r="A13" s="827">
        <v>11</v>
      </c>
      <c r="B13" s="825">
        <f>'Statens skalatrin'!D37</f>
        <v>20426.5</v>
      </c>
      <c r="C13" s="810">
        <f>'Statens skalatrin'!F37</f>
        <v>20842.25</v>
      </c>
      <c r="D13" s="810">
        <f>'Statens skalatrin'!H37</f>
        <v>21130.17</v>
      </c>
      <c r="E13" s="810">
        <f>'Statens skalatrin'!J37</f>
        <v>21545.919999999998</v>
      </c>
      <c r="F13" s="815">
        <f>'Statens skalatrin'!L37</f>
        <v>21833.67</v>
      </c>
      <c r="G13" s="782">
        <f>'Statens skalatrin'!O37</f>
        <v>19095.849999999999</v>
      </c>
      <c r="H13" s="964">
        <f t="shared" si="0"/>
        <v>1018.4466666666667</v>
      </c>
      <c r="I13" s="809">
        <f t="shared" si="1"/>
        <v>2036.8933333333334</v>
      </c>
      <c r="J13" s="835">
        <f t="shared" si="2"/>
        <v>3055.34</v>
      </c>
    </row>
    <row r="14" spans="1:10" ht="16" customHeight="1">
      <c r="A14" s="827">
        <v>12</v>
      </c>
      <c r="B14" s="825">
        <f>'Statens skalatrin'!D40</f>
        <v>20778.169999999998</v>
      </c>
      <c r="C14" s="810">
        <f>'Statens skalatrin'!F40</f>
        <v>21204.42</v>
      </c>
      <c r="D14" s="810">
        <f>'Statens skalatrin'!H40</f>
        <v>21499.67</v>
      </c>
      <c r="E14" s="810">
        <f>'Statens skalatrin'!J40</f>
        <v>21925.75</v>
      </c>
      <c r="F14" s="815">
        <f>'Statens skalatrin'!L40</f>
        <v>22220.75</v>
      </c>
      <c r="G14" s="782">
        <f>'Statens skalatrin'!O40</f>
        <v>19425.52</v>
      </c>
      <c r="H14" s="964">
        <f t="shared" si="0"/>
        <v>1036.0266666666666</v>
      </c>
      <c r="I14" s="809">
        <f t="shared" si="1"/>
        <v>2072.0533333333333</v>
      </c>
      <c r="J14" s="835">
        <f t="shared" si="2"/>
        <v>3108.08</v>
      </c>
    </row>
    <row r="15" spans="1:10" ht="16" customHeight="1">
      <c r="A15" s="827">
        <v>13</v>
      </c>
      <c r="B15" s="825">
        <f>'Statens skalatrin'!D43</f>
        <v>21139.83</v>
      </c>
      <c r="C15" s="810">
        <f>'Statens skalatrin'!F43</f>
        <v>21576.67</v>
      </c>
      <c r="D15" s="810">
        <f>'Statens skalatrin'!H43</f>
        <v>21879.17</v>
      </c>
      <c r="E15" s="810">
        <f>'Statens skalatrin'!J43</f>
        <v>22316.25</v>
      </c>
      <c r="F15" s="815">
        <f>'Statens skalatrin'!L43</f>
        <v>22618.58</v>
      </c>
      <c r="G15" s="782">
        <f>'Statens skalatrin'!O43</f>
        <v>19764.23</v>
      </c>
      <c r="H15" s="964">
        <f t="shared" si="0"/>
        <v>1054.0933333333335</v>
      </c>
      <c r="I15" s="809">
        <f t="shared" si="1"/>
        <v>2108.186666666667</v>
      </c>
      <c r="J15" s="835">
        <f t="shared" si="2"/>
        <v>3162.28</v>
      </c>
    </row>
    <row r="16" spans="1:10" ht="16" customHeight="1" thickBot="1">
      <c r="A16" s="311">
        <v>14</v>
      </c>
      <c r="B16" s="826">
        <f>'Statens skalatrin'!D46</f>
        <v>21511.25</v>
      </c>
      <c r="C16" s="818">
        <f>'Statens skalatrin'!F46</f>
        <v>21959.17</v>
      </c>
      <c r="D16" s="818">
        <f>'Statens skalatrin'!H46</f>
        <v>22269.25</v>
      </c>
      <c r="E16" s="818">
        <f>'Statens skalatrin'!J46</f>
        <v>22717.17</v>
      </c>
      <c r="F16" s="819">
        <f>'Statens skalatrin'!L46</f>
        <v>23027.25</v>
      </c>
      <c r="G16" s="959">
        <f>'Statens skalatrin'!O46</f>
        <v>20112.32</v>
      </c>
      <c r="H16" s="965">
        <f t="shared" si="0"/>
        <v>1072.6566666666665</v>
      </c>
      <c r="I16" s="820">
        <f t="shared" si="1"/>
        <v>2145.313333333333</v>
      </c>
      <c r="J16" s="966">
        <f t="shared" si="2"/>
        <v>3217.97</v>
      </c>
    </row>
    <row r="17" spans="1:11" ht="15" customHeight="1" thickBot="1">
      <c r="A17" s="897"/>
      <c r="B17" s="874"/>
      <c r="C17" s="821"/>
      <c r="D17" s="821"/>
      <c r="E17" s="821"/>
      <c r="F17" s="821"/>
      <c r="G17" s="838"/>
      <c r="H17" s="822"/>
      <c r="I17" s="822"/>
      <c r="J17" s="822"/>
      <c r="K17" s="822"/>
    </row>
    <row r="18" spans="1:11" ht="20" customHeight="1">
      <c r="A18" s="1828" t="s">
        <v>448</v>
      </c>
      <c r="B18" s="1829"/>
      <c r="C18" s="1829"/>
      <c r="D18" s="1829"/>
      <c r="E18" s="1829"/>
      <c r="F18" s="1829"/>
      <c r="G18" s="1829"/>
      <c r="H18" s="1829"/>
      <c r="I18" s="1829"/>
      <c r="J18" s="1830"/>
    </row>
    <row r="19" spans="1:11" ht="20" customHeight="1" thickBot="1">
      <c r="A19" s="1924" t="s">
        <v>447</v>
      </c>
      <c r="B19" s="1925"/>
      <c r="C19" s="1925"/>
      <c r="D19" s="1925"/>
      <c r="E19" s="1925"/>
      <c r="F19" s="1925"/>
      <c r="G19" s="1925"/>
      <c r="H19" s="1925"/>
      <c r="I19" s="1925"/>
      <c r="J19" s="1926"/>
    </row>
    <row r="20" spans="1:11" ht="20" customHeight="1" thickBot="1">
      <c r="A20" s="1927" t="s">
        <v>458</v>
      </c>
      <c r="B20" s="1928"/>
      <c r="C20" s="1928"/>
      <c r="D20" s="1928"/>
      <c r="E20" s="1928"/>
      <c r="F20" s="1929"/>
      <c r="G20" s="1927" t="s">
        <v>168</v>
      </c>
      <c r="H20" s="1930"/>
      <c r="I20" s="1930"/>
      <c r="J20" s="1931"/>
    </row>
    <row r="21" spans="1:11" ht="30" customHeight="1" thickBot="1">
      <c r="A21" s="831" t="s">
        <v>57</v>
      </c>
      <c r="B21" s="851" t="s">
        <v>75</v>
      </c>
      <c r="C21" s="846" t="s">
        <v>76</v>
      </c>
      <c r="D21" s="846" t="s">
        <v>77</v>
      </c>
      <c r="E21" s="846" t="s">
        <v>78</v>
      </c>
      <c r="F21" s="847" t="s">
        <v>79</v>
      </c>
      <c r="G21" s="470" t="s">
        <v>185</v>
      </c>
      <c r="H21" s="836" t="s">
        <v>187</v>
      </c>
      <c r="I21" s="833" t="s">
        <v>188</v>
      </c>
      <c r="J21" s="837">
        <f>J10</f>
        <v>0.16</v>
      </c>
    </row>
    <row r="22" spans="1:11" ht="16" customHeight="1">
      <c r="A22" s="839">
        <v>16</v>
      </c>
      <c r="B22" s="848">
        <f>'Statens skalatrin'!D52</f>
        <v>22185.25</v>
      </c>
      <c r="C22" s="849">
        <f>'Statens skalatrin'!F52</f>
        <v>22656.080000000002</v>
      </c>
      <c r="D22" s="849">
        <f>'Statens skalatrin'!H52</f>
        <v>22982.17</v>
      </c>
      <c r="E22" s="849">
        <f>'Statens skalatrin'!J52</f>
        <v>23452.92</v>
      </c>
      <c r="F22" s="850">
        <f>'Statens skalatrin'!L52</f>
        <v>23778.92</v>
      </c>
      <c r="G22" s="843">
        <f>'Statens skalatrin'!O52</f>
        <v>20837.32</v>
      </c>
      <c r="H22" s="961">
        <f>J22*1/3</f>
        <v>1111.3233333333333</v>
      </c>
      <c r="I22" s="962">
        <f>J22*2/3</f>
        <v>2222.6466666666665</v>
      </c>
      <c r="J22" s="963">
        <f>ROUND(G22*$J$10,2)</f>
        <v>3333.97</v>
      </c>
    </row>
    <row r="23" spans="1:11" ht="16" customHeight="1">
      <c r="A23" s="813">
        <v>18</v>
      </c>
      <c r="B23" s="814">
        <f>'Statens skalatrin'!D58</f>
        <v>23002.17</v>
      </c>
      <c r="C23" s="810">
        <f>'Statens skalatrin'!F58</f>
        <v>23497.33</v>
      </c>
      <c r="D23" s="810">
        <f>'Statens skalatrin'!H58</f>
        <v>23840</v>
      </c>
      <c r="E23" s="810">
        <f>'Statens skalatrin'!J58</f>
        <v>24335</v>
      </c>
      <c r="F23" s="815">
        <f>'Statens skalatrin'!L58</f>
        <v>24677.67</v>
      </c>
      <c r="G23" s="844">
        <f>'Statens skalatrin'!O58</f>
        <v>21602.74</v>
      </c>
      <c r="H23" s="964">
        <f t="shared" ref="H23:H27" si="3">J23*1/3</f>
        <v>1152.1466666666668</v>
      </c>
      <c r="I23" s="809">
        <f t="shared" ref="I23:I27" si="4">J23*2/3</f>
        <v>2304.2933333333335</v>
      </c>
      <c r="J23" s="835">
        <f t="shared" ref="J23:J27" si="5">ROUND(G23*$J$10,2)</f>
        <v>3456.44</v>
      </c>
    </row>
    <row r="24" spans="1:11" s="590" customFormat="1" ht="16" customHeight="1">
      <c r="A24" s="813">
        <v>20</v>
      </c>
      <c r="B24" s="814">
        <f>'Statens skalatrin'!D64</f>
        <v>23632.17</v>
      </c>
      <c r="C24" s="810">
        <f>'Statens skalatrin'!F64</f>
        <v>24152.67</v>
      </c>
      <c r="D24" s="810">
        <f>'Statens skalatrin'!H64</f>
        <v>24513.08</v>
      </c>
      <c r="E24" s="810">
        <f>'Statens skalatrin'!J64</f>
        <v>25033.67</v>
      </c>
      <c r="F24" s="815">
        <f>'Statens skalatrin'!L64</f>
        <v>25393.919999999998</v>
      </c>
      <c r="G24" s="844">
        <f>'Statens skalatrin'!O64</f>
        <v>22410.799999999999</v>
      </c>
      <c r="H24" s="964">
        <f t="shared" si="3"/>
        <v>1195.2433333333333</v>
      </c>
      <c r="I24" s="809">
        <f t="shared" si="4"/>
        <v>2390.4866666666667</v>
      </c>
      <c r="J24" s="835">
        <f t="shared" si="5"/>
        <v>3585.73</v>
      </c>
    </row>
    <row r="25" spans="1:11" s="590" customFormat="1" ht="16" customHeight="1">
      <c r="A25" s="813">
        <v>22</v>
      </c>
      <c r="B25" s="814">
        <f>'Statens skalatrin'!D70</f>
        <v>24385.75</v>
      </c>
      <c r="C25" s="810">
        <f>'Statens skalatrin'!F70</f>
        <v>24919.67</v>
      </c>
      <c r="D25" s="810">
        <f>'Statens skalatrin'!H70</f>
        <v>25289.25</v>
      </c>
      <c r="E25" s="810">
        <f>'Statens skalatrin'!J70</f>
        <v>25823.17</v>
      </c>
      <c r="F25" s="815">
        <f>'Statens skalatrin'!L70</f>
        <v>26192.83</v>
      </c>
      <c r="G25" s="844">
        <f>'Statens skalatrin'!O70</f>
        <v>23252.28</v>
      </c>
      <c r="H25" s="964">
        <f t="shared" si="3"/>
        <v>1240.1200000000001</v>
      </c>
      <c r="I25" s="809">
        <f t="shared" si="4"/>
        <v>2480.2400000000002</v>
      </c>
      <c r="J25" s="835">
        <f t="shared" si="5"/>
        <v>3720.36</v>
      </c>
    </row>
    <row r="26" spans="1:11" ht="16" customHeight="1">
      <c r="A26" s="813">
        <v>24</v>
      </c>
      <c r="B26" s="814">
        <f>'Statens skalatrin'!D76</f>
        <v>25174.5</v>
      </c>
      <c r="C26" s="810">
        <f>'Statens skalatrin'!F76</f>
        <v>25678.92</v>
      </c>
      <c r="D26" s="810">
        <f>'Statens skalatrin'!H76</f>
        <v>26028.25</v>
      </c>
      <c r="E26" s="810">
        <f>'Statens skalatrin'!J76</f>
        <v>26532.83</v>
      </c>
      <c r="F26" s="815">
        <f>'Statens skalatrin'!L76</f>
        <v>26882.17</v>
      </c>
      <c r="G26" s="844">
        <f>'Statens skalatrin'!O76</f>
        <v>24103.3</v>
      </c>
      <c r="H26" s="964">
        <f t="shared" si="3"/>
        <v>1285.51</v>
      </c>
      <c r="I26" s="809">
        <f t="shared" si="4"/>
        <v>2571.02</v>
      </c>
      <c r="J26" s="835">
        <f t="shared" si="5"/>
        <v>3856.53</v>
      </c>
    </row>
    <row r="27" spans="1:11" ht="16" customHeight="1" thickBot="1">
      <c r="A27" s="823">
        <v>26</v>
      </c>
      <c r="B27" s="817">
        <f>'Statens skalatrin'!D82</f>
        <v>26002.25</v>
      </c>
      <c r="C27" s="818">
        <f>'Statens skalatrin'!F82</f>
        <v>26474.080000000002</v>
      </c>
      <c r="D27" s="818">
        <f>'Statens skalatrin'!H82</f>
        <v>26800.75</v>
      </c>
      <c r="E27" s="818">
        <f>'Statens skalatrin'!J82</f>
        <v>27272.67</v>
      </c>
      <c r="F27" s="819">
        <f>'Statens skalatrin'!L82</f>
        <v>27599.25</v>
      </c>
      <c r="G27" s="845">
        <f>'Statens skalatrin'!O82</f>
        <v>25000.240000000002</v>
      </c>
      <c r="H27" s="965">
        <f t="shared" si="3"/>
        <v>1333.3466666666666</v>
      </c>
      <c r="I27" s="820">
        <f t="shared" si="4"/>
        <v>2666.6933333333332</v>
      </c>
      <c r="J27" s="966">
        <f t="shared" si="5"/>
        <v>4000.04</v>
      </c>
    </row>
    <row r="28" spans="1:11" ht="20" customHeight="1" thickBot="1">
      <c r="A28" s="898"/>
      <c r="B28" s="875"/>
      <c r="C28" s="821"/>
      <c r="D28" s="821"/>
      <c r="E28" s="821"/>
      <c r="F28" s="821"/>
      <c r="G28" s="821"/>
      <c r="H28" s="821"/>
      <c r="I28" s="822"/>
      <c r="J28" s="822"/>
      <c r="K28" s="824"/>
    </row>
    <row r="29" spans="1:11" ht="20" customHeight="1">
      <c r="A29" s="1828" t="s">
        <v>449</v>
      </c>
      <c r="B29" s="1829"/>
      <c r="C29" s="1829"/>
      <c r="D29" s="1829"/>
      <c r="E29" s="1829"/>
      <c r="F29" s="1829"/>
      <c r="G29" s="1829"/>
      <c r="H29" s="1829"/>
      <c r="I29" s="1829"/>
      <c r="J29" s="1830"/>
    </row>
    <row r="30" spans="1:11" ht="20" customHeight="1" thickBot="1">
      <c r="A30" s="1924" t="s">
        <v>447</v>
      </c>
      <c r="B30" s="1925"/>
      <c r="C30" s="1925"/>
      <c r="D30" s="1925"/>
      <c r="E30" s="1925"/>
      <c r="F30" s="1925"/>
      <c r="G30" s="1925"/>
      <c r="H30" s="1925"/>
      <c r="I30" s="1925"/>
      <c r="J30" s="1926"/>
    </row>
    <row r="31" spans="1:11" s="424" customFormat="1" ht="20" customHeight="1" thickBot="1">
      <c r="A31" s="1927" t="s">
        <v>458</v>
      </c>
      <c r="B31" s="1928"/>
      <c r="C31" s="1928"/>
      <c r="D31" s="1928"/>
      <c r="E31" s="1928"/>
      <c r="F31" s="1929"/>
      <c r="G31" s="1927" t="s">
        <v>168</v>
      </c>
      <c r="H31" s="1928"/>
      <c r="I31" s="1928"/>
      <c r="J31" s="1929"/>
    </row>
    <row r="32" spans="1:11" ht="30" customHeight="1" thickBot="1">
      <c r="A32" s="470" t="s">
        <v>57</v>
      </c>
      <c r="B32" s="836" t="s">
        <v>75</v>
      </c>
      <c r="C32" s="833" t="s">
        <v>76</v>
      </c>
      <c r="D32" s="833" t="s">
        <v>77</v>
      </c>
      <c r="E32" s="833" t="s">
        <v>78</v>
      </c>
      <c r="F32" s="841" t="s">
        <v>79</v>
      </c>
      <c r="G32" s="831" t="s">
        <v>185</v>
      </c>
      <c r="H32" s="854" t="s">
        <v>187</v>
      </c>
      <c r="I32" s="831" t="s">
        <v>188</v>
      </c>
      <c r="J32" s="855">
        <f>J10</f>
        <v>0.16</v>
      </c>
    </row>
    <row r="33" spans="1:11" ht="16" customHeight="1">
      <c r="A33" s="827">
        <v>27</v>
      </c>
      <c r="B33" s="828">
        <f>'Statens skalatrin'!D85</f>
        <v>26429.919999999998</v>
      </c>
      <c r="C33" s="829">
        <f>'Statens skalatrin'!F85</f>
        <v>26883.58</v>
      </c>
      <c r="D33" s="829">
        <f>'Statens skalatrin'!H85</f>
        <v>27197.919999999998</v>
      </c>
      <c r="E33" s="829">
        <f>'Statens skalatrin'!J85</f>
        <v>27651.67</v>
      </c>
      <c r="F33" s="842">
        <f>'Statens skalatrin'!L85</f>
        <v>27965.83</v>
      </c>
      <c r="G33" s="853">
        <f>'Statens skalatrin'!O85</f>
        <v>25466.3</v>
      </c>
      <c r="H33" s="961">
        <f>J33*1/3</f>
        <v>1358.2033333333334</v>
      </c>
      <c r="I33" s="962">
        <f>J33*2/3</f>
        <v>2716.4066666666668</v>
      </c>
      <c r="J33" s="963">
        <f>ROUND(G33*$J$10,2)</f>
        <v>4074.61</v>
      </c>
    </row>
    <row r="34" spans="1:11" ht="16" customHeight="1">
      <c r="A34" s="827">
        <v>29</v>
      </c>
      <c r="B34" s="825">
        <f>'Statens skalatrin'!D91</f>
        <v>27314.33</v>
      </c>
      <c r="C34" s="810">
        <f>'Statens skalatrin'!F91</f>
        <v>27728.25</v>
      </c>
      <c r="D34" s="810">
        <f>'Statens skalatrin'!H91</f>
        <v>28014.92</v>
      </c>
      <c r="E34" s="810">
        <f>'Statens skalatrin'!J91</f>
        <v>28428.83</v>
      </c>
      <c r="F34" s="852">
        <f>'Statens skalatrin'!L91</f>
        <v>28715.42</v>
      </c>
      <c r="G34" s="651">
        <f>'Statens skalatrin'!O91</f>
        <v>26435.49</v>
      </c>
      <c r="H34" s="964">
        <f t="shared" ref="H34:H36" si="6">J34*1/3</f>
        <v>1409.8933333333334</v>
      </c>
      <c r="I34" s="809">
        <f t="shared" ref="I34:I36" si="7">J34*2/3</f>
        <v>2819.7866666666669</v>
      </c>
      <c r="J34" s="835">
        <f t="shared" ref="J34:J36" si="8">ROUND(G34*$J$10,2)</f>
        <v>4229.68</v>
      </c>
    </row>
    <row r="35" spans="1:11" ht="16" customHeight="1">
      <c r="A35" s="827">
        <v>31</v>
      </c>
      <c r="B35" s="825">
        <f>'Statens skalatrin'!D97</f>
        <v>28238.75</v>
      </c>
      <c r="C35" s="810">
        <f>'Statens skalatrin'!F97</f>
        <v>28607.42</v>
      </c>
      <c r="D35" s="810">
        <f>'Statens skalatrin'!H97</f>
        <v>28862.75</v>
      </c>
      <c r="E35" s="810">
        <f>'Statens skalatrin'!J97</f>
        <v>29231.42</v>
      </c>
      <c r="F35" s="852">
        <f>'Statens skalatrin'!L97</f>
        <v>29486.67</v>
      </c>
      <c r="G35" s="651">
        <f>'Statens skalatrin'!O97</f>
        <v>27455.96</v>
      </c>
      <c r="H35" s="964">
        <f t="shared" si="6"/>
        <v>1464.3166666666666</v>
      </c>
      <c r="I35" s="809">
        <f t="shared" si="7"/>
        <v>2928.6333333333332</v>
      </c>
      <c r="J35" s="835">
        <f t="shared" si="8"/>
        <v>4392.95</v>
      </c>
    </row>
    <row r="36" spans="1:11" s="590" customFormat="1" ht="16" customHeight="1" thickBot="1">
      <c r="A36" s="311">
        <v>33</v>
      </c>
      <c r="B36" s="856">
        <f>'Statens skalatrin'!D103</f>
        <v>29204.67</v>
      </c>
      <c r="C36" s="811">
        <f>'Statens skalatrin'!F103</f>
        <v>29522.17</v>
      </c>
      <c r="D36" s="811">
        <f>'Statens skalatrin'!H103</f>
        <v>29742.17</v>
      </c>
      <c r="E36" s="811">
        <f>'Statens skalatrin'!J103</f>
        <v>30059.75</v>
      </c>
      <c r="F36" s="857">
        <f>'Statens skalatrin'!L103</f>
        <v>30279.67</v>
      </c>
      <c r="G36" s="652">
        <f>'Statens skalatrin'!O103</f>
        <v>28530.45</v>
      </c>
      <c r="H36" s="967">
        <f t="shared" si="6"/>
        <v>1521.6233333333332</v>
      </c>
      <c r="I36" s="812">
        <f t="shared" si="7"/>
        <v>3043.2466666666664</v>
      </c>
      <c r="J36" s="966">
        <f t="shared" si="8"/>
        <v>4564.87</v>
      </c>
    </row>
    <row r="37" spans="1:11" s="858" customFormat="1" ht="20" customHeight="1" thickBot="1">
      <c r="A37" s="898"/>
      <c r="B37" s="875"/>
      <c r="C37" s="821"/>
      <c r="D37" s="821"/>
      <c r="E37" s="821"/>
      <c r="F37" s="821"/>
      <c r="G37" s="821"/>
      <c r="H37" s="821"/>
      <c r="I37" s="822"/>
      <c r="J37" s="822"/>
      <c r="K37" s="824"/>
    </row>
    <row r="38" spans="1:11" s="590" customFormat="1" ht="20" customHeight="1">
      <c r="A38" s="1828" t="s">
        <v>450</v>
      </c>
      <c r="B38" s="1829"/>
      <c r="C38" s="1829"/>
      <c r="D38" s="1829"/>
      <c r="E38" s="1829"/>
      <c r="F38" s="1829"/>
      <c r="G38" s="1829"/>
      <c r="H38" s="1829"/>
      <c r="I38" s="1829"/>
      <c r="J38" s="1830"/>
    </row>
    <row r="39" spans="1:11" ht="20" customHeight="1" thickBot="1">
      <c r="A39" s="1924" t="s">
        <v>447</v>
      </c>
      <c r="B39" s="1925"/>
      <c r="C39" s="1925"/>
      <c r="D39" s="1925"/>
      <c r="E39" s="1925"/>
      <c r="F39" s="1925"/>
      <c r="G39" s="1925"/>
      <c r="H39" s="1925"/>
      <c r="I39" s="1925"/>
      <c r="J39" s="1926"/>
    </row>
    <row r="40" spans="1:11" ht="20" customHeight="1" thickBot="1">
      <c r="A40" s="1927" t="s">
        <v>458</v>
      </c>
      <c r="B40" s="1928"/>
      <c r="C40" s="1928"/>
      <c r="D40" s="1928"/>
      <c r="E40" s="1928"/>
      <c r="F40" s="1929"/>
      <c r="G40" s="1927" t="s">
        <v>168</v>
      </c>
      <c r="H40" s="1928"/>
      <c r="I40" s="1928"/>
      <c r="J40" s="1929"/>
    </row>
    <row r="41" spans="1:11" ht="30" customHeight="1" thickBot="1">
      <c r="A41" s="470" t="s">
        <v>57</v>
      </c>
      <c r="B41" s="836" t="s">
        <v>75</v>
      </c>
      <c r="C41" s="833" t="s">
        <v>76</v>
      </c>
      <c r="D41" s="833" t="s">
        <v>77</v>
      </c>
      <c r="E41" s="833" t="s">
        <v>78</v>
      </c>
      <c r="F41" s="834" t="s">
        <v>79</v>
      </c>
      <c r="G41" s="854" t="s">
        <v>185</v>
      </c>
      <c r="H41" s="854" t="s">
        <v>187</v>
      </c>
      <c r="I41" s="831" t="s">
        <v>188</v>
      </c>
      <c r="J41" s="855">
        <f>J10</f>
        <v>0.16</v>
      </c>
    </row>
    <row r="42" spans="1:11" s="253" customFormat="1" ht="16" customHeight="1">
      <c r="A42" s="827">
        <v>34</v>
      </c>
      <c r="B42" s="840">
        <f>'Statens skalatrin'!D106</f>
        <v>29703.919999999998</v>
      </c>
      <c r="C42" s="828">
        <f>'Statens skalatrin'!F106</f>
        <v>29993.58</v>
      </c>
      <c r="D42" s="828">
        <f>'Statens skalatrin'!H106</f>
        <v>30194.080000000002</v>
      </c>
      <c r="E42" s="828">
        <f>'Statens skalatrin'!J106</f>
        <v>30483.58</v>
      </c>
      <c r="F42" s="861">
        <f>'Statens skalatrin'!L106</f>
        <v>30684.17</v>
      </c>
      <c r="G42" s="865">
        <f>'Statens skalatrin'!O106</f>
        <v>29088.880000000001</v>
      </c>
      <c r="H42" s="961">
        <f>J42*1/3</f>
        <v>1551.4066666666668</v>
      </c>
      <c r="I42" s="962">
        <f>J42*2/3</f>
        <v>3102.8133333333335</v>
      </c>
      <c r="J42" s="963">
        <f>ROUND(G42*$J$10,2)</f>
        <v>4654.22</v>
      </c>
    </row>
    <row r="43" spans="1:11" s="253" customFormat="1" ht="16" customHeight="1">
      <c r="A43" s="827">
        <v>36</v>
      </c>
      <c r="B43" s="814">
        <f>'Statens skalatrin'!D112</f>
        <v>30735.5</v>
      </c>
      <c r="C43" s="825">
        <f>'Statens skalatrin'!F112</f>
        <v>30964.25</v>
      </c>
      <c r="D43" s="825">
        <f>'Statens skalatrin'!H112</f>
        <v>31122.67</v>
      </c>
      <c r="E43" s="825">
        <f>'Statens skalatrin'!J112</f>
        <v>31351.42</v>
      </c>
      <c r="F43" s="844">
        <f>'Statens skalatrin'!L112</f>
        <v>31509.75</v>
      </c>
      <c r="G43" s="651">
        <f>'Statens skalatrin'!O112</f>
        <v>30249.83</v>
      </c>
      <c r="H43" s="964">
        <f t="shared" ref="H43:H46" si="9">J43*1/3</f>
        <v>1613.3233333333335</v>
      </c>
      <c r="I43" s="809">
        <f t="shared" ref="I43:I46" si="10">J43*2/3</f>
        <v>3226.646666666667</v>
      </c>
      <c r="J43" s="835">
        <f t="shared" ref="J43:J46" si="11">ROUND(G43*$J$10,2)</f>
        <v>4839.97</v>
      </c>
    </row>
    <row r="44" spans="1:11" s="253" customFormat="1" ht="16" customHeight="1">
      <c r="A44" s="827">
        <v>40</v>
      </c>
      <c r="B44" s="814">
        <f>'Statens skalatrin'!D124</f>
        <v>32980.33</v>
      </c>
      <c r="C44" s="825">
        <f>'Statens skalatrin'!F124</f>
        <v>33066.5</v>
      </c>
      <c r="D44" s="825">
        <f>'Statens skalatrin'!H124</f>
        <v>33126.25</v>
      </c>
      <c r="E44" s="825">
        <f>'Statens skalatrin'!J124</f>
        <v>33212.42</v>
      </c>
      <c r="F44" s="844">
        <f>'Statens skalatrin'!L124</f>
        <v>33272.17</v>
      </c>
      <c r="G44" s="651">
        <f>'Statens skalatrin'!O124</f>
        <v>32797.1</v>
      </c>
      <c r="H44" s="964">
        <f t="shared" si="9"/>
        <v>1749.18</v>
      </c>
      <c r="I44" s="809">
        <f t="shared" si="10"/>
        <v>3498.36</v>
      </c>
      <c r="J44" s="835">
        <f t="shared" si="11"/>
        <v>5247.54</v>
      </c>
    </row>
    <row r="45" spans="1:11" s="253" customFormat="1" ht="16" customHeight="1">
      <c r="A45" s="859">
        <v>42</v>
      </c>
      <c r="B45" s="862">
        <f>'Statens skalatrin'!D130</f>
        <v>34180</v>
      </c>
      <c r="C45" s="860">
        <f>'Statens skalatrin'!F130</f>
        <v>34180</v>
      </c>
      <c r="D45" s="860">
        <f>'Statens skalatrin'!H130</f>
        <v>34180</v>
      </c>
      <c r="E45" s="860">
        <f>'Statens skalatrin'!J130</f>
        <v>34180</v>
      </c>
      <c r="F45" s="863">
        <f>'Statens skalatrin'!L130</f>
        <v>34180</v>
      </c>
      <c r="G45" s="808">
        <f>'Statens skalatrin'!O130</f>
        <v>34179.93</v>
      </c>
      <c r="H45" s="964">
        <f t="shared" si="9"/>
        <v>1822.93</v>
      </c>
      <c r="I45" s="809">
        <f t="shared" si="10"/>
        <v>3645.86</v>
      </c>
      <c r="J45" s="835">
        <f t="shared" si="11"/>
        <v>5468.79</v>
      </c>
    </row>
    <row r="46" spans="1:11" s="236" customFormat="1" ht="16" customHeight="1" thickBot="1">
      <c r="A46" s="311">
        <v>43</v>
      </c>
      <c r="B46" s="816">
        <f>'Statens skalatrin'!D133</f>
        <v>34938.83</v>
      </c>
      <c r="C46" s="856">
        <f>'Statens skalatrin'!F133</f>
        <v>34938.83</v>
      </c>
      <c r="D46" s="856">
        <f>'Statens skalatrin'!H133</f>
        <v>34938.83</v>
      </c>
      <c r="E46" s="856">
        <f>'Statens skalatrin'!J133</f>
        <v>34938.83</v>
      </c>
      <c r="F46" s="864">
        <f>'Statens skalatrin'!L133</f>
        <v>34938.83</v>
      </c>
      <c r="G46" s="652">
        <f>'Statens skalatrin'!O133</f>
        <v>34938.769999999997</v>
      </c>
      <c r="H46" s="967">
        <f t="shared" si="9"/>
        <v>1863.3999999999999</v>
      </c>
      <c r="I46" s="812">
        <f t="shared" si="10"/>
        <v>3726.7999999999997</v>
      </c>
      <c r="J46" s="966">
        <f t="shared" si="11"/>
        <v>5590.2</v>
      </c>
    </row>
    <row r="47" spans="1:11" s="270" customFormat="1" ht="20" customHeight="1" thickBot="1">
      <c r="A47" s="898"/>
      <c r="B47" s="875"/>
      <c r="C47" s="821"/>
      <c r="D47" s="821"/>
      <c r="E47" s="821"/>
      <c r="F47" s="821"/>
      <c r="G47" s="838"/>
      <c r="H47" s="821"/>
      <c r="I47" s="822"/>
      <c r="J47" s="822"/>
      <c r="K47" s="822"/>
    </row>
    <row r="48" spans="1:11" s="236" customFormat="1" ht="20" customHeight="1">
      <c r="A48" s="1154" t="s">
        <v>192</v>
      </c>
      <c r="B48" s="1292"/>
      <c r="C48" s="1292"/>
      <c r="D48" s="1292"/>
      <c r="E48" s="1292"/>
      <c r="F48" s="1292"/>
      <c r="G48" s="1292"/>
      <c r="H48" s="1292"/>
      <c r="I48" s="1292"/>
      <c r="J48" s="1293"/>
    </row>
    <row r="49" spans="1:14" s="236" customFormat="1" ht="17" customHeight="1" thickBot="1">
      <c r="A49" s="1932" t="s">
        <v>312</v>
      </c>
      <c r="B49" s="1933"/>
      <c r="C49" s="1933"/>
      <c r="D49" s="1933"/>
      <c r="E49" s="1933"/>
      <c r="F49" s="1933"/>
      <c r="G49" s="1933"/>
      <c r="H49" s="1933"/>
      <c r="I49" s="1933"/>
      <c r="J49" s="1934"/>
    </row>
    <row r="50" spans="1:14" s="236" customFormat="1" ht="16">
      <c r="A50" s="866"/>
      <c r="B50" s="867"/>
      <c r="C50" s="867"/>
      <c r="D50" s="867"/>
      <c r="E50" s="867"/>
      <c r="F50" s="870"/>
      <c r="G50" s="1941" t="s">
        <v>341</v>
      </c>
      <c r="H50" s="1942"/>
      <c r="I50" s="1941" t="s">
        <v>342</v>
      </c>
      <c r="J50" s="1942"/>
      <c r="K50" s="223"/>
      <c r="L50" s="223"/>
      <c r="M50" s="223"/>
    </row>
    <row r="51" spans="1:14" s="236" customFormat="1" ht="17" thickBot="1">
      <c r="A51" s="868"/>
      <c r="B51" s="869"/>
      <c r="C51" s="869"/>
      <c r="D51" s="869"/>
      <c r="E51" s="869"/>
      <c r="F51" s="806"/>
      <c r="G51" s="1943">
        <v>40999</v>
      </c>
      <c r="H51" s="1944"/>
      <c r="I51" s="1943" t="str">
        <f>'Løntabel gældende fra'!$D$1</f>
        <v>01/04/2022</v>
      </c>
      <c r="J51" s="1944"/>
      <c r="K51" s="223"/>
      <c r="L51" s="223"/>
      <c r="M51" s="223"/>
    </row>
    <row r="52" spans="1:14" s="236" customFormat="1" ht="16" customHeight="1" thickBot="1">
      <c r="A52" s="1935" t="s">
        <v>461</v>
      </c>
      <c r="B52" s="1936"/>
      <c r="C52" s="1936"/>
      <c r="D52" s="1936"/>
      <c r="E52" s="1936"/>
      <c r="F52" s="1937"/>
      <c r="G52" s="1945">
        <v>136.5</v>
      </c>
      <c r="H52" s="1946"/>
      <c r="I52" s="1860">
        <f>ROUND(+G52*(1+'Løntabel gældende fra'!$D$7/100),2)</f>
        <v>154.81</v>
      </c>
      <c r="J52" s="1859"/>
      <c r="K52" s="223"/>
      <c r="L52" s="223"/>
      <c r="M52" s="223"/>
    </row>
    <row r="53" spans="1:14" s="236" customFormat="1" ht="16" customHeight="1" thickBot="1">
      <c r="A53" s="1938" t="s">
        <v>451</v>
      </c>
      <c r="B53" s="1939"/>
      <c r="C53" s="1939"/>
      <c r="D53" s="1939"/>
      <c r="E53" s="1939"/>
      <c r="F53" s="1940"/>
      <c r="G53" s="1860">
        <v>186.5</v>
      </c>
      <c r="H53" s="1859"/>
      <c r="I53" s="1860">
        <f>ROUND(+G53*(1+'Løntabel gældende fra'!$D$7/100),2)</f>
        <v>211.51</v>
      </c>
      <c r="J53" s="1859"/>
      <c r="K53" s="223"/>
      <c r="L53" s="223"/>
      <c r="M53" s="223"/>
    </row>
    <row r="54" spans="1:14" s="236" customFormat="1" ht="20" customHeight="1" thickBot="1">
      <c r="A54" s="871"/>
      <c r="B54" s="807"/>
      <c r="C54" s="807"/>
      <c r="D54" s="807"/>
      <c r="E54" s="807"/>
      <c r="F54" s="807"/>
      <c r="G54" s="871"/>
      <c r="H54" s="61"/>
      <c r="I54" s="61"/>
      <c r="J54" s="61"/>
      <c r="K54" s="61"/>
      <c r="L54" s="223"/>
      <c r="M54" s="223"/>
      <c r="N54" s="223"/>
    </row>
    <row r="55" spans="1:14" s="236" customFormat="1" ht="20" customHeight="1">
      <c r="A55" s="1154" t="s">
        <v>227</v>
      </c>
      <c r="B55" s="1292"/>
      <c r="C55" s="1292"/>
      <c r="D55" s="1292"/>
      <c r="E55" s="1292"/>
      <c r="F55" s="1292"/>
      <c r="G55" s="1292"/>
      <c r="H55" s="1292"/>
      <c r="I55" s="1292"/>
      <c r="J55" s="1293"/>
    </row>
    <row r="56" spans="1:14" s="236" customFormat="1" ht="21" customHeight="1" thickBot="1">
      <c r="A56" s="1932" t="s">
        <v>392</v>
      </c>
      <c r="B56" s="1933"/>
      <c r="C56" s="1933"/>
      <c r="D56" s="1933"/>
      <c r="E56" s="1933"/>
      <c r="F56" s="1933"/>
      <c r="G56" s="1933"/>
      <c r="H56" s="1933"/>
      <c r="I56" s="1933"/>
      <c r="J56" s="1934"/>
    </row>
    <row r="57" spans="1:14" ht="16">
      <c r="A57" s="866"/>
      <c r="B57" s="867"/>
      <c r="C57" s="867"/>
      <c r="D57" s="867"/>
      <c r="E57" s="867"/>
      <c r="F57" s="870"/>
      <c r="G57" s="1941" t="s">
        <v>455</v>
      </c>
      <c r="H57" s="1942"/>
      <c r="I57" s="1941" t="s">
        <v>453</v>
      </c>
      <c r="J57" s="1942"/>
    </row>
    <row r="58" spans="1:14" ht="17" thickBot="1">
      <c r="A58" s="868"/>
      <c r="B58" s="869"/>
      <c r="C58" s="869"/>
      <c r="D58" s="869"/>
      <c r="E58" s="869"/>
      <c r="F58" s="806"/>
      <c r="G58" s="1943">
        <v>40999</v>
      </c>
      <c r="H58" s="1944"/>
      <c r="I58" s="1943" t="str">
        <f>'Løntabel gældende fra'!$D$1</f>
        <v>01/04/2022</v>
      </c>
      <c r="J58" s="1944"/>
    </row>
    <row r="59" spans="1:14" ht="16" customHeight="1" thickBot="1">
      <c r="A59" s="878" t="s">
        <v>452</v>
      </c>
      <c r="B59" s="879"/>
      <c r="C59" s="879"/>
      <c r="D59" s="879"/>
      <c r="E59" s="879"/>
      <c r="F59" s="880"/>
      <c r="G59" s="1945">
        <v>300</v>
      </c>
      <c r="H59" s="1946"/>
      <c r="I59" s="1860">
        <f>ROUND(+G59*(1+'Løntabel gældende fra'!$D$7/100),2)</f>
        <v>340.23</v>
      </c>
      <c r="J59" s="1859"/>
    </row>
    <row r="60" spans="1:14" ht="20" customHeight="1" thickBot="1">
      <c r="A60" s="1912"/>
      <c r="B60" s="1912"/>
      <c r="C60" s="1912"/>
      <c r="D60" s="1912"/>
      <c r="E60" s="1912"/>
      <c r="F60" s="1912"/>
      <c r="G60" s="1912"/>
      <c r="H60" s="1912"/>
      <c r="I60" s="507"/>
      <c r="J60" s="10"/>
      <c r="K60" s="10"/>
    </row>
    <row r="61" spans="1:14" ht="20" customHeight="1" thickBot="1">
      <c r="A61" s="1187" t="s">
        <v>454</v>
      </c>
      <c r="B61" s="1188"/>
      <c r="C61" s="1188"/>
      <c r="D61" s="1188"/>
      <c r="E61" s="1188"/>
      <c r="F61" s="1188"/>
      <c r="G61" s="1188"/>
      <c r="H61" s="1246"/>
      <c r="I61" s="507"/>
      <c r="J61" s="10"/>
      <c r="K61" s="10"/>
    </row>
    <row r="62" spans="1:14" ht="20" customHeight="1" thickBot="1">
      <c r="A62" s="888"/>
      <c r="B62" s="889"/>
      <c r="C62" s="1919" t="s">
        <v>500</v>
      </c>
      <c r="D62" s="1705"/>
      <c r="E62" s="1712"/>
      <c r="F62" s="1919" t="s">
        <v>501</v>
      </c>
      <c r="G62" s="1705"/>
      <c r="H62" s="1712"/>
      <c r="I62" s="507"/>
      <c r="J62" s="10"/>
      <c r="K62" s="10"/>
    </row>
    <row r="63" spans="1:14" ht="20" customHeight="1">
      <c r="A63" s="872"/>
      <c r="B63" s="873"/>
      <c r="C63" s="1917" t="s">
        <v>131</v>
      </c>
      <c r="D63" s="1917" t="s">
        <v>131</v>
      </c>
      <c r="E63" s="1917" t="s">
        <v>278</v>
      </c>
      <c r="F63" s="1917" t="s">
        <v>131</v>
      </c>
      <c r="G63" s="1917" t="s">
        <v>131</v>
      </c>
      <c r="H63" s="1917" t="s">
        <v>278</v>
      </c>
      <c r="I63" s="876"/>
      <c r="J63" s="877"/>
      <c r="K63" s="877"/>
    </row>
    <row r="64" spans="1:14" ht="20" customHeight="1">
      <c r="A64" s="872"/>
      <c r="B64" s="873"/>
      <c r="C64" s="1918"/>
      <c r="D64" s="1918"/>
      <c r="E64" s="1918"/>
      <c r="F64" s="1918"/>
      <c r="G64" s="1918"/>
      <c r="H64" s="1918"/>
      <c r="I64" s="876"/>
      <c r="J64" s="877"/>
      <c r="K64" s="877"/>
    </row>
    <row r="65" spans="1:11" ht="20" customHeight="1" thickBot="1">
      <c r="A65" s="881"/>
      <c r="B65" s="890"/>
      <c r="C65" s="882">
        <f>G58</f>
        <v>40999</v>
      </c>
      <c r="D65" s="882" t="str">
        <f>I58</f>
        <v>01/04/2022</v>
      </c>
      <c r="E65" s="882" t="str">
        <f>I58</f>
        <v>01/04/2022</v>
      </c>
      <c r="F65" s="882">
        <f>C65</f>
        <v>40999</v>
      </c>
      <c r="G65" s="882" t="str">
        <f t="shared" ref="G65:H65" si="12">D65</f>
        <v>01/04/2022</v>
      </c>
      <c r="H65" s="882" t="str">
        <f t="shared" si="12"/>
        <v>01/04/2022</v>
      </c>
      <c r="I65" s="876"/>
      <c r="J65" s="877"/>
      <c r="K65" s="877"/>
    </row>
    <row r="66" spans="1:11" ht="16" customHeight="1" thickBot="1">
      <c r="A66" s="1910" t="s">
        <v>457</v>
      </c>
      <c r="B66" s="1911"/>
      <c r="C66" s="894"/>
      <c r="D66" s="894"/>
      <c r="E66" s="894"/>
      <c r="F66" s="894"/>
      <c r="G66" s="894"/>
      <c r="H66" s="894"/>
      <c r="I66" s="876"/>
      <c r="J66" s="877"/>
      <c r="K66" s="877"/>
    </row>
    <row r="67" spans="1:11" ht="16" customHeight="1">
      <c r="A67" s="1920" t="s">
        <v>384</v>
      </c>
      <c r="B67" s="1921"/>
      <c r="C67" s="884">
        <v>103542</v>
      </c>
      <c r="D67" s="885">
        <f>ROUND(C67+(C67*'Løntabel gældende fra'!$D$7%),2)</f>
        <v>117427.4</v>
      </c>
      <c r="E67" s="885">
        <f>ROUND(D67/12,2)</f>
        <v>9785.6200000000008</v>
      </c>
      <c r="F67" s="885">
        <v>106163</v>
      </c>
      <c r="G67" s="885">
        <f>ROUND(F67+(F67*'Løntabel gældende fra'!$D$7%),2)</f>
        <v>120399.88</v>
      </c>
      <c r="H67" s="884">
        <f>ROUND(G67/12,2)</f>
        <v>10033.32</v>
      </c>
      <c r="I67" s="507"/>
      <c r="J67" s="10"/>
      <c r="K67" s="10"/>
    </row>
    <row r="68" spans="1:11" ht="16" customHeight="1">
      <c r="A68" s="1913" t="s">
        <v>383</v>
      </c>
      <c r="B68" s="1914"/>
      <c r="C68" s="886">
        <v>110751</v>
      </c>
      <c r="D68" s="885">
        <f>ROUND(C68+(C68*'Løntabel gældende fra'!$D$7%),2)</f>
        <v>125603.15</v>
      </c>
      <c r="E68" s="885">
        <f t="shared" ref="E68:E70" si="13">ROUND(D68/12,2)</f>
        <v>10466.93</v>
      </c>
      <c r="F68" s="886">
        <v>114027</v>
      </c>
      <c r="G68" s="885">
        <f>ROUND(F68+(F68*'Løntabel gældende fra'!$D$7%),2)</f>
        <v>129318.48</v>
      </c>
      <c r="H68" s="884">
        <f t="shared" ref="H68:H70" si="14">ROUND(G68/12,2)</f>
        <v>10776.54</v>
      </c>
      <c r="I68" s="507"/>
      <c r="J68" s="10"/>
      <c r="K68" s="10"/>
    </row>
    <row r="69" spans="1:11" ht="16" customHeight="1">
      <c r="A69" s="1913" t="s">
        <v>382</v>
      </c>
      <c r="B69" s="1914"/>
      <c r="C69" s="886">
        <v>117959</v>
      </c>
      <c r="D69" s="885">
        <f>ROUND(C69+(C69*'Løntabel gældende fra'!$D$7%),2)</f>
        <v>133777.76999999999</v>
      </c>
      <c r="E69" s="885">
        <f t="shared" si="13"/>
        <v>11148.15</v>
      </c>
      <c r="F69" s="886">
        <v>121236</v>
      </c>
      <c r="G69" s="885">
        <f>ROUND(F69+(F69*'Løntabel gældende fra'!$D$7%),2)</f>
        <v>137494.23000000001</v>
      </c>
      <c r="H69" s="884">
        <f t="shared" si="14"/>
        <v>11457.85</v>
      </c>
      <c r="I69" s="507"/>
      <c r="J69" s="10"/>
      <c r="K69" s="10"/>
    </row>
    <row r="70" spans="1:11" ht="16" customHeight="1" thickBot="1">
      <c r="A70" s="1915" t="s">
        <v>381</v>
      </c>
      <c r="B70" s="1916"/>
      <c r="C70" s="887">
        <v>126479</v>
      </c>
      <c r="D70" s="885">
        <f>ROUND(C70+(C70*'Løntabel gældende fra'!$D$7%),2)</f>
        <v>143440.34</v>
      </c>
      <c r="E70" s="885">
        <f t="shared" si="13"/>
        <v>11953.36</v>
      </c>
      <c r="F70" s="887">
        <v>130411</v>
      </c>
      <c r="G70" s="885">
        <f>ROUND(F70+(F70*'Løntabel gældende fra'!$D$7%),2)</f>
        <v>147899.64000000001</v>
      </c>
      <c r="H70" s="884">
        <f t="shared" si="14"/>
        <v>12324.97</v>
      </c>
      <c r="I70" s="507"/>
      <c r="J70" s="10"/>
      <c r="K70" s="10"/>
    </row>
    <row r="71" spans="1:11" ht="16" customHeight="1" thickBot="1">
      <c r="A71" s="1910" t="s">
        <v>456</v>
      </c>
      <c r="B71" s="1911"/>
      <c r="C71" s="891"/>
      <c r="D71" s="891"/>
      <c r="E71" s="891"/>
      <c r="F71" s="892"/>
      <c r="G71" s="891"/>
      <c r="H71" s="893"/>
      <c r="I71" s="507"/>
      <c r="J71" s="10"/>
      <c r="K71" s="10"/>
    </row>
    <row r="72" spans="1:11" ht="16" customHeight="1">
      <c r="A72" s="1920" t="s">
        <v>384</v>
      </c>
      <c r="B72" s="1921"/>
      <c r="C72" s="884">
        <v>130411</v>
      </c>
      <c r="D72" s="885">
        <f>ROUND(C72+(C72*'Løntabel gældende fra'!$D$7%),2)</f>
        <v>147899.64000000001</v>
      </c>
      <c r="E72" s="885">
        <f>ROUND(D72/12,2)</f>
        <v>12324.97</v>
      </c>
      <c r="F72" s="885">
        <v>133687</v>
      </c>
      <c r="G72" s="885">
        <f>ROUND(F72+(F72*'Løntabel gældende fra'!$D$7%),2)</f>
        <v>151614.96</v>
      </c>
      <c r="H72" s="884">
        <f>ROUND(G72/12,2)</f>
        <v>12634.58</v>
      </c>
      <c r="I72" s="507"/>
      <c r="J72" s="10"/>
      <c r="K72" s="10"/>
    </row>
    <row r="73" spans="1:11" ht="16" customHeight="1">
      <c r="A73" s="1913" t="s">
        <v>383</v>
      </c>
      <c r="B73" s="1914"/>
      <c r="C73" s="886">
        <v>137619</v>
      </c>
      <c r="D73" s="885">
        <f>ROUND(C73+(C73*'Løntabel gældende fra'!$D$7%),2)</f>
        <v>156074.26</v>
      </c>
      <c r="E73" s="885">
        <f t="shared" ref="E73:E75" si="15">ROUND(D73/12,2)</f>
        <v>13006.19</v>
      </c>
      <c r="F73" s="886">
        <v>140896</v>
      </c>
      <c r="G73" s="885">
        <f>ROUND(F73+(F73*'Løntabel gældende fra'!$D$7%),2)</f>
        <v>159790.72</v>
      </c>
      <c r="H73" s="884">
        <f t="shared" ref="H73:H75" si="16">ROUND(G73/12,2)</f>
        <v>13315.89</v>
      </c>
      <c r="I73" s="507"/>
      <c r="J73" s="10"/>
      <c r="K73" s="10"/>
    </row>
    <row r="74" spans="1:11" ht="16" customHeight="1">
      <c r="A74" s="1913" t="s">
        <v>382</v>
      </c>
      <c r="B74" s="1914"/>
      <c r="C74" s="886">
        <v>147777</v>
      </c>
      <c r="D74" s="885">
        <f>ROUND(C74+(C74*'Løntabel gældende fra'!$D$7%),2)</f>
        <v>167594.49</v>
      </c>
      <c r="E74" s="885">
        <f t="shared" si="15"/>
        <v>13966.21</v>
      </c>
      <c r="F74" s="886">
        <v>152037</v>
      </c>
      <c r="G74" s="885">
        <f>ROUND(F74+(F74*'Løntabel gældende fra'!$D$7%),2)</f>
        <v>172425.77</v>
      </c>
      <c r="H74" s="884">
        <f t="shared" si="16"/>
        <v>14368.81</v>
      </c>
      <c r="I74" s="507"/>
      <c r="J74" s="10"/>
      <c r="K74" s="10"/>
    </row>
    <row r="75" spans="1:11" s="424" customFormat="1" ht="16" customHeight="1" thickBot="1">
      <c r="A75" s="1915" t="s">
        <v>381</v>
      </c>
      <c r="B75" s="1916"/>
      <c r="C75" s="887">
        <v>155641</v>
      </c>
      <c r="D75" s="885">
        <f>ROUND(C75+(C75*'Løntabel gældende fra'!$D$7%),2)</f>
        <v>176513.08</v>
      </c>
      <c r="E75" s="885">
        <f t="shared" si="15"/>
        <v>14709.42</v>
      </c>
      <c r="F75" s="887">
        <v>160556</v>
      </c>
      <c r="G75" s="885">
        <f>ROUND(F75+(F75*'Løntabel gældende fra'!$D$7%),2)</f>
        <v>182087.2</v>
      </c>
      <c r="H75" s="884">
        <f t="shared" si="16"/>
        <v>15173.93</v>
      </c>
      <c r="I75" s="507"/>
      <c r="J75" s="61"/>
      <c r="K75" s="61"/>
    </row>
    <row r="76" spans="1:11" ht="16" customHeight="1" thickBot="1">
      <c r="A76" s="895" t="s">
        <v>459</v>
      </c>
      <c r="B76" s="895"/>
      <c r="C76" s="891"/>
      <c r="D76" s="891"/>
      <c r="E76" s="891"/>
      <c r="F76" s="892"/>
      <c r="G76" s="891"/>
      <c r="H76" s="893"/>
      <c r="I76" s="507"/>
      <c r="J76" s="10"/>
      <c r="K76" s="10"/>
    </row>
    <row r="77" spans="1:11" ht="16" customHeight="1" thickBot="1">
      <c r="A77" s="1922" t="s">
        <v>460</v>
      </c>
      <c r="B77" s="1923"/>
      <c r="C77" s="883">
        <v>220533</v>
      </c>
      <c r="D77" s="883">
        <f>ROUND(C77+(C77*'Løntabel gældende fra'!$D$7%),2)</f>
        <v>250107.36</v>
      </c>
      <c r="E77" s="883">
        <f>ROUND(D77/12,2)</f>
        <v>20842.28</v>
      </c>
      <c r="F77" s="883">
        <v>222812</v>
      </c>
      <c r="G77" s="883">
        <f>ROUND(F77+(F77*'Løntabel gældende fra'!$D$7%),2)</f>
        <v>252691.98</v>
      </c>
      <c r="H77" s="896">
        <f>ROUND(G77/12,2)</f>
        <v>21057.67</v>
      </c>
      <c r="I77" s="507"/>
      <c r="J77" s="10"/>
      <c r="K77" s="10"/>
    </row>
    <row r="78" spans="1:11">
      <c r="A78" s="239"/>
      <c r="B78" s="239"/>
      <c r="C78" s="239"/>
      <c r="D78" s="240"/>
      <c r="E78" s="237"/>
      <c r="F78" s="236"/>
      <c r="G78" s="238"/>
      <c r="H78" s="238"/>
    </row>
    <row r="79" spans="1:11">
      <c r="A79" s="236"/>
      <c r="B79" s="236"/>
      <c r="C79" s="236"/>
      <c r="D79" s="241"/>
      <c r="E79" s="237"/>
      <c r="F79" s="236"/>
      <c r="G79" s="238"/>
      <c r="H79" s="238"/>
    </row>
    <row r="80" spans="1:11">
      <c r="A80" s="236"/>
      <c r="B80" s="236"/>
      <c r="C80" s="236"/>
      <c r="D80" s="241"/>
      <c r="E80" s="237"/>
      <c r="F80" s="236"/>
      <c r="G80" s="238"/>
      <c r="H80" s="238"/>
    </row>
    <row r="81" spans="1:8">
      <c r="A81" s="236"/>
      <c r="B81" s="236"/>
      <c r="C81" s="236"/>
      <c r="D81" s="241"/>
      <c r="E81" s="237"/>
      <c r="F81" s="236"/>
      <c r="G81" s="238"/>
      <c r="H81" s="238"/>
    </row>
    <row r="82" spans="1:8">
      <c r="A82" s="236"/>
      <c r="B82" s="236"/>
      <c r="C82" s="236"/>
      <c r="D82" s="242"/>
      <c r="E82" s="237"/>
      <c r="F82" s="236"/>
      <c r="G82" s="238"/>
      <c r="H82" s="238"/>
    </row>
    <row r="83" spans="1:8">
      <c r="A83" s="236"/>
      <c r="B83" s="236"/>
      <c r="C83" s="236"/>
      <c r="D83" s="236"/>
      <c r="E83" s="237"/>
      <c r="F83" s="236"/>
      <c r="G83" s="238"/>
      <c r="H83" s="238"/>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H25" sqref="H25"/>
    </sheetView>
  </sheetViews>
  <sheetFormatPr baseColWidth="10" defaultColWidth="8.83203125" defaultRowHeight="13"/>
  <cols>
    <col min="1" max="1" width="22.33203125" style="223" customWidth="1"/>
    <col min="2" max="2" width="10.6640625" style="223" customWidth="1"/>
    <col min="3" max="3" width="11" style="223" customWidth="1"/>
    <col min="4" max="4" width="10.33203125" style="223" customWidth="1"/>
    <col min="5" max="5" width="11.33203125" style="223" customWidth="1"/>
    <col min="6" max="6" width="10.6640625" style="223" customWidth="1"/>
    <col min="7" max="7" width="10.33203125" style="223" customWidth="1"/>
    <col min="8" max="8" width="11.1640625" style="223" customWidth="1"/>
    <col min="9" max="9" width="11" style="223" customWidth="1"/>
    <col min="10" max="10" width="10.83203125" style="223" customWidth="1"/>
    <col min="11" max="16384" width="8.83203125" style="223"/>
  </cols>
  <sheetData>
    <row r="1" spans="1:12" ht="20.25" customHeight="1">
      <c r="A1" s="1983" t="s">
        <v>19</v>
      </c>
      <c r="B1" s="1984"/>
      <c r="C1" s="1984"/>
      <c r="D1" s="1984"/>
      <c r="E1" s="1984"/>
      <c r="F1" s="1984"/>
      <c r="G1" s="1984"/>
      <c r="H1" s="1984"/>
      <c r="I1" s="1984"/>
      <c r="J1" s="1985"/>
    </row>
    <row r="2" spans="1:12" ht="20" customHeight="1">
      <c r="A2" s="1986" t="s">
        <v>223</v>
      </c>
      <c r="B2" s="1987"/>
      <c r="C2" s="1987"/>
      <c r="D2" s="1987"/>
      <c r="E2" s="1987"/>
      <c r="F2" s="1987"/>
      <c r="G2" s="1987"/>
      <c r="H2" s="1987"/>
      <c r="I2" s="1987"/>
      <c r="J2" s="1988"/>
    </row>
    <row r="3" spans="1:12" ht="19.5" customHeight="1">
      <c r="A3" s="1989" t="s">
        <v>530</v>
      </c>
      <c r="B3" s="1990"/>
      <c r="C3" s="1990"/>
      <c r="D3" s="1990"/>
      <c r="E3" s="1990"/>
      <c r="F3" s="1990"/>
      <c r="G3" s="1990"/>
      <c r="H3" s="1990"/>
      <c r="I3" s="1990"/>
      <c r="J3" s="1991"/>
    </row>
    <row r="4" spans="1:12" ht="33" customHeight="1" thickBot="1">
      <c r="A4" s="1892" t="s">
        <v>236</v>
      </c>
      <c r="B4" s="1893"/>
      <c r="C4" s="1893"/>
      <c r="D4" s="1893"/>
      <c r="E4" s="1893"/>
      <c r="F4" s="1893"/>
      <c r="G4" s="1893"/>
      <c r="H4" s="1893"/>
      <c r="I4" s="1893"/>
      <c r="J4" s="1894"/>
    </row>
    <row r="5" spans="1:12" ht="15" thickBot="1">
      <c r="A5" s="243"/>
      <c r="B5" s="243"/>
      <c r="C5" s="243"/>
      <c r="D5" s="243"/>
      <c r="E5" s="968"/>
      <c r="F5" s="968"/>
      <c r="G5" s="968"/>
      <c r="H5" s="968"/>
    </row>
    <row r="6" spans="1:12" s="253" customFormat="1" ht="19" thickBot="1">
      <c r="A6" s="1699" t="s">
        <v>15</v>
      </c>
      <c r="B6" s="1700"/>
      <c r="C6" s="1700"/>
      <c r="D6" s="1701"/>
      <c r="E6" s="1992"/>
      <c r="F6" s="1992"/>
      <c r="G6" s="1992"/>
      <c r="H6" s="1992"/>
    </row>
    <row r="7" spans="1:12" s="253" customFormat="1" ht="15" customHeight="1" thickBot="1">
      <c r="A7" s="969" t="s">
        <v>220</v>
      </c>
      <c r="B7" s="594">
        <v>44228</v>
      </c>
      <c r="C7" s="594">
        <v>44287</v>
      </c>
      <c r="D7" s="970">
        <v>44652</v>
      </c>
      <c r="E7" s="971"/>
      <c r="F7" s="1993"/>
      <c r="G7" s="1993"/>
      <c r="H7" s="1993"/>
      <c r="I7" s="1993"/>
      <c r="J7" s="1993"/>
    </row>
    <row r="8" spans="1:12" s="253" customFormat="1" ht="14" customHeight="1">
      <c r="A8" s="972" t="s">
        <v>199</v>
      </c>
      <c r="B8" s="944">
        <v>26666.41</v>
      </c>
      <c r="C8" s="944">
        <v>27266.400000000001</v>
      </c>
      <c r="D8" s="496">
        <v>27879.9</v>
      </c>
      <c r="E8" s="973"/>
      <c r="F8" s="1993"/>
      <c r="G8" s="1993"/>
      <c r="H8" s="1993"/>
      <c r="I8" s="1993"/>
      <c r="J8" s="1993"/>
    </row>
    <row r="9" spans="1:12" s="253" customFormat="1" ht="13.5" customHeight="1">
      <c r="A9" s="972" t="s">
        <v>221</v>
      </c>
      <c r="B9" s="944">
        <v>23583.06</v>
      </c>
      <c r="C9" s="944">
        <v>24113.68</v>
      </c>
      <c r="D9" s="496">
        <v>24656.240000000002</v>
      </c>
      <c r="E9" s="973"/>
      <c r="F9" s="1993"/>
      <c r="G9" s="1993"/>
      <c r="H9" s="1993"/>
      <c r="I9" s="1993"/>
      <c r="J9" s="1993"/>
    </row>
    <row r="10" spans="1:12" s="253" customFormat="1" ht="15" customHeight="1" thickBot="1">
      <c r="A10" s="976" t="s">
        <v>200</v>
      </c>
      <c r="B10" s="945">
        <v>22996.28</v>
      </c>
      <c r="C10" s="945">
        <v>23513.7</v>
      </c>
      <c r="D10" s="497">
        <v>24042.75</v>
      </c>
      <c r="E10" s="973"/>
      <c r="F10" s="974"/>
      <c r="G10" s="975"/>
      <c r="H10" s="975"/>
      <c r="I10" s="256"/>
      <c r="J10" s="254"/>
      <c r="L10" s="255"/>
    </row>
    <row r="11" spans="1:12" s="253" customFormat="1" ht="15" thickBot="1">
      <c r="B11" s="254"/>
      <c r="C11" s="254"/>
      <c r="D11" s="254"/>
      <c r="E11" s="580"/>
      <c r="F11" s="580"/>
      <c r="G11" s="580"/>
      <c r="H11" s="580"/>
    </row>
    <row r="12" spans="1:12" s="253" customFormat="1" ht="19" thickBot="1">
      <c r="A12" s="1699" t="s">
        <v>170</v>
      </c>
      <c r="B12" s="1700"/>
      <c r="C12" s="1700"/>
      <c r="D12" s="1701"/>
    </row>
    <row r="13" spans="1:12" s="253" customFormat="1" ht="15" customHeight="1" thickBot="1">
      <c r="A13" s="1953" t="s">
        <v>171</v>
      </c>
      <c r="B13" s="1954"/>
      <c r="C13" s="1954"/>
      <c r="D13" s="1955"/>
    </row>
    <row r="14" spans="1:12" s="253" customFormat="1" ht="16" customHeight="1" thickBot="1">
      <c r="A14" s="977" t="s">
        <v>192</v>
      </c>
      <c r="B14" s="1045">
        <v>44228</v>
      </c>
      <c r="C14" s="1045">
        <v>44287</v>
      </c>
      <c r="D14" s="1044">
        <v>44652</v>
      </c>
    </row>
    <row r="15" spans="1:12" s="253" customFormat="1" ht="16" customHeight="1" thickBot="1">
      <c r="A15" s="978" t="s">
        <v>193</v>
      </c>
      <c r="B15" s="946">
        <v>128.83000000000001</v>
      </c>
      <c r="C15" s="946">
        <v>131.72999999999999</v>
      </c>
      <c r="D15" s="900">
        <v>134.69</v>
      </c>
      <c r="F15" s="254"/>
      <c r="G15" s="254"/>
      <c r="H15" s="254"/>
      <c r="I15" s="254"/>
      <c r="J15" s="254"/>
    </row>
    <row r="16" spans="1:12" s="253" customFormat="1" ht="16" customHeight="1" thickBot="1">
      <c r="A16" s="971"/>
      <c r="B16" s="901"/>
      <c r="C16" s="901"/>
      <c r="D16" s="901"/>
      <c r="F16" s="254"/>
      <c r="G16" s="254"/>
      <c r="H16" s="254"/>
      <c r="I16" s="254"/>
      <c r="J16" s="254"/>
    </row>
    <row r="17" spans="1:10" s="253" customFormat="1" ht="16" customHeight="1" thickBot="1">
      <c r="A17" s="1828" t="s">
        <v>197</v>
      </c>
      <c r="B17" s="1829"/>
      <c r="C17" s="1829"/>
      <c r="D17" s="1700"/>
      <c r="E17" s="1701"/>
      <c r="F17" s="254"/>
      <c r="G17" s="254"/>
      <c r="H17" s="254"/>
      <c r="I17" s="254"/>
      <c r="J17" s="254"/>
    </row>
    <row r="18" spans="1:10" s="253" customFormat="1" ht="16" customHeight="1" thickBot="1">
      <c r="A18" s="1018" t="s">
        <v>198</v>
      </c>
      <c r="B18" s="1019"/>
      <c r="C18" s="333">
        <v>44228</v>
      </c>
      <c r="D18" s="333">
        <v>44287</v>
      </c>
      <c r="E18" s="979">
        <v>44652</v>
      </c>
      <c r="F18" s="254"/>
      <c r="G18" s="254"/>
      <c r="H18" s="254"/>
      <c r="I18" s="254"/>
      <c r="J18" s="254"/>
    </row>
    <row r="19" spans="1:10" s="253" customFormat="1" ht="16" customHeight="1">
      <c r="A19" s="330" t="s">
        <v>194</v>
      </c>
      <c r="B19" s="331"/>
      <c r="C19" s="980">
        <v>69.290000000000006</v>
      </c>
      <c r="D19" s="980">
        <v>70.849999999999994</v>
      </c>
      <c r="E19" s="492">
        <v>72.44</v>
      </c>
      <c r="F19" s="254"/>
      <c r="G19" s="254"/>
      <c r="H19" s="254"/>
      <c r="I19" s="254"/>
      <c r="J19" s="254"/>
    </row>
    <row r="20" spans="1:10" s="253" customFormat="1" ht="16" customHeight="1">
      <c r="A20" s="335" t="s">
        <v>195</v>
      </c>
      <c r="B20" s="334"/>
      <c r="C20" s="981">
        <v>78.760000000000005</v>
      </c>
      <c r="D20" s="981">
        <v>80.53</v>
      </c>
      <c r="E20" s="493">
        <v>82.34</v>
      </c>
      <c r="F20" s="254"/>
      <c r="G20" s="254"/>
      <c r="H20" s="254"/>
      <c r="I20" s="254"/>
      <c r="J20" s="254"/>
    </row>
    <row r="21" spans="1:10" s="253" customFormat="1" ht="16" customHeight="1" thickBot="1">
      <c r="A21" s="336" t="s">
        <v>196</v>
      </c>
      <c r="B21" s="337"/>
      <c r="C21" s="982">
        <v>90.13</v>
      </c>
      <c r="D21" s="982">
        <v>92.16</v>
      </c>
      <c r="E21" s="495">
        <v>94.23</v>
      </c>
      <c r="F21" s="254"/>
      <c r="G21" s="254"/>
      <c r="H21" s="254"/>
      <c r="I21" s="254"/>
      <c r="J21" s="254"/>
    </row>
    <row r="22" spans="1:10" s="253" customFormat="1" ht="15" thickBot="1">
      <c r="A22" s="971"/>
      <c r="B22" s="261"/>
      <c r="C22" s="261"/>
      <c r="D22" s="261"/>
      <c r="G22" s="580"/>
    </row>
    <row r="23" spans="1:10" s="253" customFormat="1" ht="19" thickBot="1">
      <c r="A23" s="1994" t="s">
        <v>172</v>
      </c>
      <c r="B23" s="1995"/>
      <c r="C23" s="1995"/>
      <c r="D23" s="1995"/>
      <c r="E23" s="1995"/>
      <c r="F23" s="1996"/>
      <c r="G23" s="983"/>
    </row>
    <row r="24" spans="1:10" s="253" customFormat="1" ht="15" thickBot="1">
      <c r="A24" s="1981"/>
      <c r="B24" s="1982"/>
      <c r="C24" s="1982"/>
      <c r="D24" s="332">
        <v>44228</v>
      </c>
      <c r="E24" s="907">
        <v>44287</v>
      </c>
      <c r="F24" s="984">
        <v>44652</v>
      </c>
      <c r="G24" s="985"/>
    </row>
    <row r="25" spans="1:10" s="253" customFormat="1" ht="14" customHeight="1">
      <c r="A25" s="1968" t="s">
        <v>203</v>
      </c>
      <c r="B25" s="1969"/>
      <c r="C25" s="363" t="s">
        <v>165</v>
      </c>
      <c r="D25" s="947">
        <v>34.64</v>
      </c>
      <c r="E25" s="986">
        <v>35.42</v>
      </c>
      <c r="F25" s="489">
        <v>36.22</v>
      </c>
      <c r="G25" s="987"/>
    </row>
    <row r="26" spans="1:10" s="253" customFormat="1" ht="14">
      <c r="A26" s="1970" t="s">
        <v>204</v>
      </c>
      <c r="B26" s="1971"/>
      <c r="C26" s="1043" t="s">
        <v>165</v>
      </c>
      <c r="D26" s="948">
        <v>51.97</v>
      </c>
      <c r="E26" s="988">
        <v>53.14</v>
      </c>
      <c r="F26" s="490">
        <v>54.33</v>
      </c>
      <c r="G26" s="987"/>
    </row>
    <row r="27" spans="1:10" s="253" customFormat="1" ht="23" customHeight="1">
      <c r="A27" s="1972" t="s">
        <v>201</v>
      </c>
      <c r="B27" s="1973"/>
      <c r="C27" s="1043" t="s">
        <v>165</v>
      </c>
      <c r="D27" s="948">
        <v>56.57</v>
      </c>
      <c r="E27" s="988">
        <v>57.84</v>
      </c>
      <c r="F27" s="490">
        <v>59.14</v>
      </c>
      <c r="G27" s="987"/>
    </row>
    <row r="28" spans="1:10" s="253" customFormat="1" ht="15.75" customHeight="1" thickBot="1">
      <c r="A28" s="1974" t="s">
        <v>202</v>
      </c>
      <c r="B28" s="1975"/>
      <c r="C28" s="338" t="s">
        <v>165</v>
      </c>
      <c r="D28" s="949">
        <v>20.3</v>
      </c>
      <c r="E28" s="989">
        <v>20.76</v>
      </c>
      <c r="F28" s="491">
        <v>21.22</v>
      </c>
      <c r="G28" s="987"/>
    </row>
    <row r="29" spans="1:10" s="253" customFormat="1" ht="15" thickBot="1">
      <c r="A29" s="243"/>
      <c r="B29" s="243"/>
      <c r="C29" s="243"/>
      <c r="D29" s="243"/>
      <c r="E29" s="243"/>
      <c r="F29" s="244"/>
      <c r="G29" s="243"/>
    </row>
    <row r="30" spans="1:10" s="253" customFormat="1" ht="19" thickBot="1">
      <c r="A30" s="1828" t="s">
        <v>206</v>
      </c>
      <c r="B30" s="1700"/>
      <c r="C30" s="1700"/>
      <c r="D30" s="1700"/>
      <c r="E30" s="1700"/>
      <c r="F30" s="1700"/>
      <c r="G30" s="1700"/>
      <c r="H30" s="1700"/>
      <c r="I30" s="1700"/>
      <c r="J30" s="1701"/>
    </row>
    <row r="31" spans="1:10" s="253" customFormat="1" ht="15" customHeight="1" thickBot="1">
      <c r="A31" s="1976" t="s">
        <v>207</v>
      </c>
      <c r="B31" s="1978" t="s">
        <v>212</v>
      </c>
      <c r="C31" s="1979"/>
      <c r="D31" s="1980"/>
      <c r="E31" s="1978" t="s">
        <v>214</v>
      </c>
      <c r="F31" s="1979"/>
      <c r="G31" s="1980"/>
      <c r="H31" s="1978" t="s">
        <v>213</v>
      </c>
      <c r="I31" s="1979"/>
      <c r="J31" s="1980"/>
    </row>
    <row r="32" spans="1:10" s="253" customFormat="1" ht="15" thickBot="1">
      <c r="A32" s="1977"/>
      <c r="B32" s="328">
        <v>44228</v>
      </c>
      <c r="C32" s="1056">
        <v>44287</v>
      </c>
      <c r="D32" s="1057">
        <v>44652</v>
      </c>
      <c r="E32" s="1058">
        <v>44228</v>
      </c>
      <c r="F32" s="1056">
        <v>44287</v>
      </c>
      <c r="G32" s="990">
        <v>44652</v>
      </c>
      <c r="H32" s="329">
        <v>44228</v>
      </c>
      <c r="I32" s="1059">
        <v>44287</v>
      </c>
      <c r="J32" s="1060">
        <v>44652</v>
      </c>
    </row>
    <row r="33" spans="1:10" s="253" customFormat="1" ht="15" customHeight="1">
      <c r="A33" s="324" t="s">
        <v>208</v>
      </c>
      <c r="B33" s="950">
        <v>604.65</v>
      </c>
      <c r="C33" s="1022">
        <v>618.26</v>
      </c>
      <c r="D33" s="1061">
        <v>632.16999999999996</v>
      </c>
      <c r="E33" s="993">
        <v>907.25</v>
      </c>
      <c r="F33" s="1023">
        <v>927.66</v>
      </c>
      <c r="G33" s="1062">
        <v>948.53</v>
      </c>
      <c r="H33" s="993">
        <v>1209.3</v>
      </c>
      <c r="I33" s="1063">
        <v>1236.51</v>
      </c>
      <c r="J33" s="1064">
        <v>1264.3399999999999</v>
      </c>
    </row>
    <row r="34" spans="1:10" s="253" customFormat="1" ht="15" customHeight="1">
      <c r="A34" s="324" t="s">
        <v>209</v>
      </c>
      <c r="B34" s="951">
        <v>604.65</v>
      </c>
      <c r="C34" s="1024">
        <v>618.26</v>
      </c>
      <c r="D34" s="903">
        <v>632.16999999999996</v>
      </c>
      <c r="E34" s="996">
        <v>907.25</v>
      </c>
      <c r="F34" s="1026">
        <v>927.66</v>
      </c>
      <c r="G34" s="995">
        <v>948.53</v>
      </c>
      <c r="H34" s="996">
        <v>1209.3</v>
      </c>
      <c r="I34" s="1025">
        <v>1236.51</v>
      </c>
      <c r="J34" s="995">
        <v>1264.3399999999999</v>
      </c>
    </row>
    <row r="35" spans="1:10" s="253" customFormat="1" ht="15" customHeight="1">
      <c r="A35" s="324" t="s">
        <v>210</v>
      </c>
      <c r="B35" s="951">
        <v>604.65</v>
      </c>
      <c r="C35" s="1024">
        <v>618.26</v>
      </c>
      <c r="D35" s="903">
        <v>632.16999999999996</v>
      </c>
      <c r="E35" s="996">
        <v>1209.3</v>
      </c>
      <c r="F35" s="1026">
        <v>1236.51</v>
      </c>
      <c r="G35" s="995">
        <v>1264.3399999999999</v>
      </c>
      <c r="H35" s="996">
        <v>1813.96</v>
      </c>
      <c r="I35" s="1025">
        <v>1854.77</v>
      </c>
      <c r="J35" s="903">
        <v>1896.5</v>
      </c>
    </row>
    <row r="36" spans="1:10" s="253" customFormat="1" ht="15" customHeight="1">
      <c r="A36" s="324" t="s">
        <v>493</v>
      </c>
      <c r="B36" s="951">
        <v>604.65</v>
      </c>
      <c r="C36" s="1024">
        <v>618.26</v>
      </c>
      <c r="D36" s="903">
        <v>632.16999999999996</v>
      </c>
      <c r="E36" s="996">
        <v>1209.3</v>
      </c>
      <c r="F36" s="1026">
        <v>1236.51</v>
      </c>
      <c r="G36" s="995">
        <v>1264.3399999999999</v>
      </c>
      <c r="H36" s="996">
        <v>1813.96</v>
      </c>
      <c r="I36" s="1025">
        <v>1854.77</v>
      </c>
      <c r="J36" s="903">
        <v>1896.5</v>
      </c>
    </row>
    <row r="37" spans="1:10" s="253" customFormat="1" ht="15" customHeight="1" thickBot="1">
      <c r="A37" s="325" t="s">
        <v>211</v>
      </c>
      <c r="B37" s="952">
        <v>1813.96</v>
      </c>
      <c r="C37" s="1029">
        <v>1854.77</v>
      </c>
      <c r="D37" s="904">
        <v>1896.5</v>
      </c>
      <c r="E37" s="999">
        <v>2418.61</v>
      </c>
      <c r="F37" s="1027">
        <v>2473.0300000000002</v>
      </c>
      <c r="G37" s="998">
        <v>2528.67</v>
      </c>
      <c r="H37" s="999">
        <v>3023.26</v>
      </c>
      <c r="I37" s="1028">
        <v>3091.29</v>
      </c>
      <c r="J37" s="998">
        <v>3160.84</v>
      </c>
    </row>
    <row r="38" spans="1:10" s="253" customFormat="1" ht="15" thickBot="1">
      <c r="A38" s="243"/>
      <c r="B38" s="243"/>
      <c r="C38" s="243"/>
      <c r="D38" s="243"/>
      <c r="E38" s="243"/>
      <c r="F38" s="244"/>
      <c r="G38" s="243"/>
    </row>
    <row r="39" spans="1:10" s="253" customFormat="1" ht="19" thickBot="1">
      <c r="A39" s="1699" t="s">
        <v>215</v>
      </c>
      <c r="B39" s="1700"/>
      <c r="C39" s="1700"/>
      <c r="D39" s="1700"/>
      <c r="E39" s="1700"/>
      <c r="F39" s="1700"/>
      <c r="G39" s="1700"/>
      <c r="H39" s="1700"/>
      <c r="I39" s="1700"/>
      <c r="J39" s="1701"/>
    </row>
    <row r="40" spans="1:10" s="253" customFormat="1" ht="15" customHeight="1" thickBot="1">
      <c r="A40" s="1976" t="s">
        <v>207</v>
      </c>
      <c r="B40" s="1978" t="s">
        <v>212</v>
      </c>
      <c r="C40" s="1979"/>
      <c r="D40" s="1980"/>
      <c r="E40" s="1979" t="s">
        <v>214</v>
      </c>
      <c r="F40" s="1979"/>
      <c r="G40" s="1979"/>
      <c r="H40" s="1978" t="s">
        <v>213</v>
      </c>
      <c r="I40" s="1979"/>
      <c r="J40" s="1980"/>
    </row>
    <row r="41" spans="1:10" s="253" customFormat="1" ht="15" thickBot="1">
      <c r="A41" s="1977"/>
      <c r="B41" s="327">
        <v>44228</v>
      </c>
      <c r="C41" s="328">
        <v>44287</v>
      </c>
      <c r="D41" s="990">
        <v>44652</v>
      </c>
      <c r="E41" s="328">
        <v>44228</v>
      </c>
      <c r="F41" s="328">
        <v>44287</v>
      </c>
      <c r="G41" s="990">
        <v>44652</v>
      </c>
      <c r="H41" s="1020">
        <v>44228</v>
      </c>
      <c r="I41" s="1020">
        <v>44287</v>
      </c>
      <c r="J41" s="1021">
        <v>44652</v>
      </c>
    </row>
    <row r="42" spans="1:10" s="253" customFormat="1" ht="15" customHeight="1">
      <c r="A42" s="322" t="s">
        <v>216</v>
      </c>
      <c r="B42" s="1022">
        <v>604.65</v>
      </c>
      <c r="C42" s="950">
        <v>618.26</v>
      </c>
      <c r="D42" s="902">
        <v>632.16999999999996</v>
      </c>
      <c r="E42" s="1023">
        <v>1209.3</v>
      </c>
      <c r="F42" s="991">
        <v>1236.51</v>
      </c>
      <c r="G42" s="992">
        <v>1264.3399999999999</v>
      </c>
      <c r="H42" s="1022">
        <v>1813.96</v>
      </c>
      <c r="I42" s="950">
        <v>1854.77</v>
      </c>
      <c r="J42" s="902">
        <v>1896.5</v>
      </c>
    </row>
    <row r="43" spans="1:10" s="253" customFormat="1" ht="15" customHeight="1">
      <c r="A43" s="322" t="s">
        <v>211</v>
      </c>
      <c r="B43" s="1024">
        <v>1813.96</v>
      </c>
      <c r="C43" s="951">
        <v>1854.77</v>
      </c>
      <c r="D43" s="903">
        <v>1896.5</v>
      </c>
      <c r="E43" s="1026">
        <v>2418.61</v>
      </c>
      <c r="F43" s="994">
        <v>2473.0300000000002</v>
      </c>
      <c r="G43" s="995">
        <v>2528.67</v>
      </c>
      <c r="H43" s="1026">
        <v>3023.26</v>
      </c>
      <c r="I43" s="994">
        <v>3091.29</v>
      </c>
      <c r="J43" s="995">
        <v>3160.84</v>
      </c>
    </row>
    <row r="44" spans="1:10" s="253" customFormat="1" ht="15" customHeight="1">
      <c r="A44" s="322" t="s">
        <v>217</v>
      </c>
      <c r="B44" s="1026">
        <v>1209.3</v>
      </c>
      <c r="C44" s="994">
        <v>1236.51</v>
      </c>
      <c r="D44" s="995">
        <v>1264.3399999999999</v>
      </c>
      <c r="E44" s="1024">
        <v>1813.96</v>
      </c>
      <c r="F44" s="951">
        <v>1854.77</v>
      </c>
      <c r="G44" s="903">
        <v>1896.5</v>
      </c>
      <c r="H44" s="1026">
        <v>2418.61</v>
      </c>
      <c r="I44" s="994">
        <v>2473.0300000000002</v>
      </c>
      <c r="J44" s="995">
        <v>2528.67</v>
      </c>
    </row>
    <row r="45" spans="1:10" s="253" customFormat="1" ht="15" customHeight="1">
      <c r="A45" s="322" t="s">
        <v>218</v>
      </c>
      <c r="B45" s="1026">
        <v>1209.3</v>
      </c>
      <c r="C45" s="994">
        <v>1236.51</v>
      </c>
      <c r="D45" s="995">
        <v>1264.3399999999999</v>
      </c>
      <c r="E45" s="1026">
        <v>1209.3</v>
      </c>
      <c r="F45" s="994">
        <v>1236.51</v>
      </c>
      <c r="G45" s="995">
        <v>1264.3399999999999</v>
      </c>
      <c r="H45" s="1026">
        <v>1209.3</v>
      </c>
      <c r="I45" s="994">
        <v>1236.51</v>
      </c>
      <c r="J45" s="995">
        <v>1264.3399999999999</v>
      </c>
    </row>
    <row r="46" spans="1:10" s="253" customFormat="1" ht="15" customHeight="1">
      <c r="A46" s="322" t="s">
        <v>327</v>
      </c>
      <c r="B46" s="1024">
        <v>604.65</v>
      </c>
      <c r="C46" s="951">
        <v>618.26</v>
      </c>
      <c r="D46" s="903">
        <v>632.16999999999996</v>
      </c>
      <c r="E46" s="1026">
        <v>907.25</v>
      </c>
      <c r="F46" s="951">
        <v>927.66</v>
      </c>
      <c r="G46" s="903">
        <v>948.53</v>
      </c>
      <c r="H46" s="1026">
        <v>1209.3</v>
      </c>
      <c r="I46" s="994">
        <v>1236.51</v>
      </c>
      <c r="J46" s="995">
        <v>1264.3399999999999</v>
      </c>
    </row>
    <row r="47" spans="1:10" s="253" customFormat="1" ht="15" customHeight="1" thickBot="1">
      <c r="A47" s="323" t="s">
        <v>219</v>
      </c>
      <c r="B47" s="1027">
        <v>1209.3</v>
      </c>
      <c r="C47" s="997">
        <v>1236.51</v>
      </c>
      <c r="D47" s="998">
        <v>1264.3399999999999</v>
      </c>
      <c r="E47" s="1029">
        <v>1813.96</v>
      </c>
      <c r="F47" s="952">
        <v>1854.77</v>
      </c>
      <c r="G47" s="904">
        <v>1896.5</v>
      </c>
      <c r="H47" s="1027">
        <v>2418.61</v>
      </c>
      <c r="I47" s="997">
        <v>2473.0300000000002</v>
      </c>
      <c r="J47" s="998">
        <v>2528.67</v>
      </c>
    </row>
    <row r="48" spans="1:10" s="253" customFormat="1" ht="9" customHeight="1">
      <c r="A48" s="1000"/>
      <c r="B48" s="905"/>
      <c r="C48" s="905"/>
      <c r="D48" s="1001"/>
      <c r="E48" s="905"/>
      <c r="F48" s="905"/>
      <c r="G48" s="1001"/>
      <c r="H48" s="1002"/>
      <c r="I48" s="1001"/>
      <c r="J48" s="1001"/>
    </row>
    <row r="49" spans="1:10" s="253" customFormat="1" ht="15" customHeight="1">
      <c r="A49" s="253" t="s">
        <v>239</v>
      </c>
      <c r="F49" s="321"/>
      <c r="G49" s="243"/>
      <c r="H49" s="1002"/>
      <c r="I49" s="1001"/>
      <c r="J49" s="1001"/>
    </row>
    <row r="50" spans="1:10" s="253" customFormat="1" ht="12" customHeight="1">
      <c r="A50" s="503" t="s">
        <v>205</v>
      </c>
      <c r="F50" s="321"/>
      <c r="G50" s="243"/>
      <c r="H50" s="1002"/>
      <c r="I50" s="1001"/>
      <c r="J50" s="1001"/>
    </row>
    <row r="51" spans="1:10" s="253" customFormat="1" ht="12" customHeight="1">
      <c r="A51" s="503" t="s">
        <v>494</v>
      </c>
      <c r="F51" s="321"/>
      <c r="G51" s="243"/>
      <c r="H51" s="1002"/>
      <c r="I51" s="1001"/>
      <c r="J51" s="1001"/>
    </row>
    <row r="52" spans="1:10" s="253" customFormat="1" ht="22" customHeight="1" thickBot="1">
      <c r="A52" s="1030" t="s">
        <v>495</v>
      </c>
    </row>
    <row r="53" spans="1:10" s="253" customFormat="1" ht="19" thickBot="1">
      <c r="A53" s="1699" t="s">
        <v>237</v>
      </c>
      <c r="B53" s="1700"/>
      <c r="C53" s="1700"/>
      <c r="D53" s="1700"/>
      <c r="E53" s="1700"/>
      <c r="F53" s="1700"/>
      <c r="G53" s="1701"/>
      <c r="H53" s="255"/>
    </row>
    <row r="54" spans="1:10" s="253" customFormat="1" ht="16" customHeight="1" thickBot="1">
      <c r="A54" s="1953" t="s">
        <v>496</v>
      </c>
      <c r="B54" s="1954"/>
      <c r="C54" s="1954"/>
      <c r="D54" s="1954"/>
      <c r="E54" s="1954"/>
      <c r="F54" s="1954"/>
      <c r="G54" s="1955"/>
    </row>
    <row r="55" spans="1:10" s="253" customFormat="1" ht="16" customHeight="1" thickBot="1">
      <c r="A55" s="908"/>
      <c r="B55" s="1960">
        <v>44287</v>
      </c>
      <c r="C55" s="1961"/>
      <c r="D55" s="1962">
        <v>44652</v>
      </c>
      <c r="E55" s="1963"/>
      <c r="F55" s="1960">
        <v>45017</v>
      </c>
      <c r="G55" s="1961"/>
    </row>
    <row r="56" spans="1:10" s="253" customFormat="1" ht="16" customHeight="1" thickBot="1">
      <c r="A56" s="978" t="s">
        <v>238</v>
      </c>
      <c r="B56" s="1964">
        <v>2.25</v>
      </c>
      <c r="C56" s="1965"/>
      <c r="D56" s="1966">
        <v>2.25</v>
      </c>
      <c r="E56" s="1967"/>
      <c r="F56" s="1964">
        <v>2.25</v>
      </c>
      <c r="G56" s="1965"/>
      <c r="H56" s="1003"/>
    </row>
    <row r="57" spans="1:10" s="253" customFormat="1" ht="15" thickBot="1">
      <c r="A57" s="1004"/>
      <c r="B57" s="1005"/>
      <c r="C57" s="906"/>
      <c r="D57" s="906"/>
    </row>
    <row r="58" spans="1:10" s="253" customFormat="1" ht="19" thickBot="1">
      <c r="A58" s="1699" t="s">
        <v>432</v>
      </c>
      <c r="B58" s="1700"/>
      <c r="C58" s="1700"/>
      <c r="D58" s="1700"/>
      <c r="E58" s="1701"/>
    </row>
    <row r="59" spans="1:10" s="253" customFormat="1" ht="16" customHeight="1" thickBot="1">
      <c r="A59" s="1953" t="s">
        <v>434</v>
      </c>
      <c r="B59" s="1954"/>
      <c r="C59" s="1954"/>
      <c r="D59" s="1954"/>
      <c r="E59" s="1955"/>
    </row>
    <row r="60" spans="1:10" s="253" customFormat="1" ht="16" customHeight="1" thickBot="1">
      <c r="A60" s="1956"/>
      <c r="B60" s="1957"/>
      <c r="C60" s="1065">
        <v>44228</v>
      </c>
      <c r="D60" s="1031">
        <v>44287</v>
      </c>
      <c r="E60" s="1006">
        <v>44652</v>
      </c>
    </row>
    <row r="61" spans="1:10" s="253" customFormat="1" ht="16" customHeight="1" thickBot="1">
      <c r="A61" s="1958" t="s">
        <v>433</v>
      </c>
      <c r="B61" s="1959"/>
      <c r="C61" s="1066">
        <v>3247.91</v>
      </c>
      <c r="D61" s="1032">
        <v>3320.99</v>
      </c>
      <c r="E61" s="1007">
        <v>3395.71</v>
      </c>
    </row>
    <row r="62" spans="1:10" s="253" customFormat="1" ht="14">
      <c r="A62" s="1008"/>
      <c r="B62" s="1008"/>
      <c r="C62" s="1009"/>
      <c r="D62" s="1009"/>
    </row>
    <row r="63" spans="1:10" ht="14">
      <c r="A63" s="1008"/>
      <c r="B63" s="1008"/>
      <c r="C63" s="1009"/>
      <c r="D63" s="1009"/>
      <c r="E63" s="253"/>
      <c r="F63" s="253"/>
      <c r="G63" s="253"/>
      <c r="H63" s="253"/>
      <c r="I63" s="253"/>
      <c r="J63" s="253"/>
    </row>
    <row r="64" spans="1:10" ht="14">
      <c r="A64" s="1010"/>
      <c r="B64" s="1010"/>
      <c r="C64" s="1011"/>
      <c r="D64" s="1009"/>
      <c r="E64" s="1042"/>
      <c r="F64" s="1042"/>
      <c r="G64" s="1042"/>
      <c r="H64" s="1042"/>
      <c r="I64" s="253"/>
      <c r="J64" s="253"/>
    </row>
    <row r="65" spans="1:10" ht="14">
      <c r="A65" s="1010"/>
      <c r="B65" s="1010"/>
      <c r="C65" s="1011"/>
      <c r="D65" s="1009"/>
      <c r="E65" s="253"/>
      <c r="F65" s="253"/>
      <c r="G65" s="253"/>
      <c r="H65" s="253"/>
      <c r="I65" s="253"/>
      <c r="J65" s="253"/>
    </row>
    <row r="66" spans="1:10" ht="14">
      <c r="A66" s="580"/>
      <c r="B66" s="580"/>
      <c r="C66" s="580"/>
      <c r="D66" s="580"/>
      <c r="E66" s="253"/>
      <c r="F66" s="253"/>
      <c r="G66" s="253"/>
      <c r="H66" s="253"/>
      <c r="I66" s="253"/>
      <c r="J66" s="253"/>
    </row>
    <row r="67" spans="1:10" ht="14">
      <c r="A67" s="253"/>
      <c r="B67" s="253"/>
      <c r="C67" s="253"/>
      <c r="D67" s="253"/>
      <c r="E67" s="253"/>
      <c r="F67" s="253"/>
      <c r="G67" s="253"/>
      <c r="H67" s="253"/>
      <c r="I67" s="253"/>
      <c r="J67" s="253"/>
    </row>
    <row r="68" spans="1:10" ht="14">
      <c r="A68" s="253"/>
      <c r="B68" s="253"/>
      <c r="C68" s="253"/>
      <c r="D68" s="253"/>
      <c r="E68" s="253"/>
      <c r="F68" s="253"/>
      <c r="G68" s="253"/>
      <c r="H68" s="253"/>
      <c r="I68" s="253"/>
      <c r="J68" s="253"/>
    </row>
    <row r="69" spans="1:10" ht="14">
      <c r="A69" s="253"/>
      <c r="B69" s="253"/>
      <c r="C69" s="253"/>
      <c r="D69" s="253"/>
      <c r="E69" s="253"/>
      <c r="F69" s="253"/>
      <c r="G69" s="253"/>
      <c r="H69" s="253"/>
      <c r="I69" s="253"/>
      <c r="J69" s="253"/>
    </row>
    <row r="70" spans="1:10" ht="14">
      <c r="A70" s="253"/>
      <c r="B70" s="253"/>
      <c r="C70" s="253"/>
      <c r="D70" s="253"/>
    </row>
    <row r="71" spans="1:10" ht="14">
      <c r="A71" s="1042"/>
      <c r="B71" s="1042"/>
      <c r="C71" s="1042"/>
      <c r="D71" s="1042"/>
    </row>
    <row r="72" spans="1:10" s="253" customFormat="1" ht="14">
      <c r="A72" s="1042"/>
      <c r="E72" s="223"/>
      <c r="F72" s="223"/>
      <c r="G72" s="223"/>
      <c r="H72" s="223"/>
      <c r="I72" s="223"/>
      <c r="J72" s="223"/>
    </row>
    <row r="73" spans="1:10" s="253" customFormat="1" ht="14">
      <c r="E73" s="223"/>
      <c r="F73" s="223"/>
      <c r="G73" s="223"/>
      <c r="H73" s="223"/>
      <c r="I73" s="223"/>
      <c r="J73" s="223"/>
    </row>
    <row r="74" spans="1:10" s="253" customFormat="1" ht="14">
      <c r="E74" s="223"/>
      <c r="F74" s="223"/>
      <c r="G74" s="223"/>
      <c r="H74" s="223"/>
      <c r="I74" s="223"/>
      <c r="J74" s="223"/>
    </row>
    <row r="75" spans="1:10" s="253" customFormat="1" ht="14">
      <c r="E75" s="223"/>
      <c r="F75" s="223"/>
      <c r="G75" s="223"/>
      <c r="H75" s="223"/>
      <c r="I75" s="223"/>
      <c r="J75" s="223"/>
    </row>
    <row r="76" spans="1:10" s="253" customFormat="1" ht="14">
      <c r="E76" s="223"/>
      <c r="F76" s="223"/>
      <c r="G76" s="223"/>
      <c r="H76" s="223"/>
      <c r="I76" s="223"/>
      <c r="J76" s="223"/>
    </row>
    <row r="77" spans="1:10" s="253" customFormat="1" ht="14">
      <c r="A77" s="223"/>
      <c r="B77" s="223"/>
      <c r="C77" s="223"/>
      <c r="D77" s="223"/>
      <c r="E77" s="223"/>
      <c r="F77" s="223"/>
      <c r="G77" s="223"/>
      <c r="H77" s="223"/>
      <c r="I77" s="223"/>
      <c r="J77" s="223"/>
    </row>
    <row r="78" spans="1:10" s="253" customFormat="1" ht="14">
      <c r="A78" s="223"/>
      <c r="B78" s="223"/>
      <c r="C78" s="223"/>
      <c r="D78" s="223"/>
      <c r="E78" s="223"/>
      <c r="F78" s="223"/>
      <c r="G78" s="223"/>
      <c r="H78" s="223"/>
      <c r="I78" s="223"/>
      <c r="J78" s="223"/>
    </row>
    <row r="79" spans="1:10" s="253" customFormat="1" ht="14">
      <c r="A79" s="223"/>
      <c r="B79" s="223"/>
      <c r="C79" s="223"/>
      <c r="D79" s="223"/>
    </row>
    <row r="80" spans="1:10" s="253" customFormat="1" ht="14">
      <c r="A80" s="223"/>
      <c r="B80" s="223"/>
      <c r="C80" s="223"/>
      <c r="D80" s="223"/>
    </row>
    <row r="81" spans="1:4" s="253" customFormat="1" ht="14">
      <c r="A81" s="223"/>
      <c r="B81" s="223"/>
      <c r="C81" s="223"/>
      <c r="D81" s="223"/>
    </row>
    <row r="82" spans="1:4" s="253" customFormat="1" ht="14">
      <c r="A82" s="223"/>
      <c r="B82" s="223"/>
      <c r="C82" s="223"/>
      <c r="D82" s="223"/>
    </row>
    <row r="83" spans="1:4" s="253" customFormat="1" ht="14">
      <c r="A83" s="223"/>
      <c r="B83" s="223"/>
      <c r="C83" s="223"/>
      <c r="D83" s="223"/>
    </row>
    <row r="84" spans="1:4" s="253" customFormat="1" ht="14">
      <c r="A84" s="223"/>
      <c r="B84" s="223"/>
      <c r="C84" s="223"/>
      <c r="D84" s="223"/>
    </row>
    <row r="85" spans="1:4" s="253" customFormat="1" ht="14">
      <c r="A85" s="223"/>
      <c r="B85" s="223"/>
      <c r="C85" s="223"/>
      <c r="D85" s="223"/>
    </row>
    <row r="86" spans="1:4" s="253" customFormat="1" ht="14"/>
    <row r="87" spans="1:4" s="253" customFormat="1" ht="14"/>
    <row r="88" spans="1:4" s="253" customFormat="1" ht="14"/>
    <row r="89" spans="1:4" s="253" customFormat="1" ht="14"/>
    <row r="90" spans="1:4" s="253" customFormat="1" ht="14"/>
    <row r="91" spans="1:4" s="253" customFormat="1" ht="14"/>
    <row r="92" spans="1:4" s="253" customFormat="1" ht="14"/>
    <row r="93" spans="1:4" s="253" customFormat="1" ht="14"/>
    <row r="94" spans="1:4" s="253" customFormat="1" ht="14"/>
    <row r="95" spans="1:4" s="253" customFormat="1" ht="14"/>
    <row r="96" spans="1:4" s="253" customFormat="1" ht="14"/>
    <row r="97" s="253" customFormat="1" ht="14"/>
    <row r="98" s="253" customFormat="1" ht="14"/>
    <row r="99" s="253" customFormat="1" ht="14"/>
    <row r="100" s="253" customFormat="1" ht="14"/>
    <row r="101" s="253" customFormat="1" ht="14"/>
    <row r="102" s="253" customFormat="1" ht="14"/>
    <row r="103" s="253" customFormat="1" ht="14"/>
    <row r="104" s="253" customFormat="1" ht="14"/>
    <row r="105" s="253" customFormat="1" ht="14"/>
    <row r="106" s="253" customFormat="1" ht="14"/>
    <row r="107" s="253" customFormat="1" ht="14"/>
    <row r="108" s="253" customFormat="1" ht="14"/>
    <row r="109" s="253" customFormat="1" ht="14"/>
    <row r="110" s="253" customFormat="1" ht="14"/>
    <row r="111" s="253" customFormat="1" ht="14"/>
    <row r="112" s="253" customFormat="1" ht="14"/>
    <row r="113" s="253" customFormat="1" ht="14"/>
    <row r="114" s="253" customFormat="1" ht="14"/>
    <row r="115" s="253" customFormat="1" ht="14"/>
    <row r="116" s="253" customFormat="1" ht="14"/>
    <row r="117" s="253" customFormat="1" ht="14"/>
    <row r="118" s="253" customFormat="1" ht="14"/>
    <row r="119" s="253" customFormat="1" ht="14"/>
    <row r="120" s="253" customFormat="1" ht="14"/>
    <row r="121" s="253" customFormat="1" ht="14"/>
    <row r="122" s="253" customFormat="1" ht="14"/>
    <row r="123" s="253" customFormat="1" ht="14"/>
    <row r="124" s="253" customFormat="1" ht="14"/>
    <row r="125" s="253" customFormat="1" ht="14"/>
    <row r="126" s="253" customFormat="1" ht="14"/>
    <row r="127" s="253" customFormat="1" ht="14"/>
    <row r="128" s="253" customFormat="1" ht="14"/>
    <row r="129" s="253" customFormat="1" ht="14"/>
    <row r="130" s="253" customFormat="1" ht="14"/>
    <row r="131" s="253" customFormat="1" ht="14"/>
    <row r="132" s="253" customFormat="1" ht="14"/>
    <row r="133" s="253" customFormat="1" ht="14"/>
    <row r="134" s="253" customFormat="1" ht="14"/>
    <row r="135" s="253" customFormat="1" ht="14"/>
    <row r="136" s="253" customFormat="1" ht="14"/>
    <row r="137" s="253" customFormat="1" ht="14"/>
    <row r="138" s="253" customFormat="1" ht="14"/>
    <row r="139" s="253" customFormat="1" ht="14"/>
    <row r="140" s="253" customFormat="1" ht="14"/>
    <row r="141" s="253" customFormat="1" ht="14"/>
    <row r="142" s="253" customFormat="1" ht="14"/>
    <row r="143" s="253" customFormat="1" ht="14"/>
    <row r="144" s="253" customFormat="1" ht="14"/>
    <row r="145" spans="1:10" s="253" customFormat="1" ht="14"/>
    <row r="146" spans="1:10" s="253" customFormat="1" ht="14"/>
    <row r="147" spans="1:10" s="253" customFormat="1" ht="14"/>
    <row r="148" spans="1:10" s="253" customFormat="1" ht="14"/>
    <row r="149" spans="1:10" s="253" customFormat="1" ht="14"/>
    <row r="150" spans="1:10" s="253" customFormat="1" ht="14"/>
    <row r="151" spans="1:10" s="253" customFormat="1" ht="14"/>
    <row r="152" spans="1:10" s="253" customFormat="1" ht="14"/>
    <row r="153" spans="1:10" s="253" customFormat="1" ht="14"/>
    <row r="154" spans="1:10" ht="14">
      <c r="A154" s="253"/>
      <c r="B154" s="253"/>
      <c r="C154" s="253"/>
      <c r="D154" s="253"/>
      <c r="E154" s="253"/>
      <c r="F154" s="253"/>
      <c r="G154" s="253"/>
      <c r="H154" s="253"/>
      <c r="I154" s="253"/>
      <c r="J154" s="253"/>
    </row>
    <row r="155" spans="1:10" ht="14">
      <c r="A155" s="253"/>
      <c r="B155" s="253"/>
      <c r="C155" s="253"/>
      <c r="D155" s="253"/>
      <c r="E155" s="253"/>
      <c r="F155" s="253"/>
      <c r="G155" s="253"/>
      <c r="H155" s="253"/>
      <c r="I155" s="253"/>
      <c r="J155" s="253"/>
    </row>
    <row r="156" spans="1:10" ht="14">
      <c r="A156" s="253"/>
      <c r="B156" s="253"/>
      <c r="C156" s="253"/>
      <c r="D156" s="253"/>
      <c r="E156" s="253"/>
      <c r="F156" s="253"/>
      <c r="G156" s="253"/>
      <c r="H156" s="253"/>
      <c r="I156" s="253"/>
      <c r="J156" s="253"/>
    </row>
    <row r="157" spans="1:10" ht="14">
      <c r="A157" s="253"/>
      <c r="B157" s="253"/>
      <c r="C157" s="253"/>
      <c r="D157" s="253"/>
      <c r="E157" s="253"/>
      <c r="F157" s="253"/>
      <c r="G157" s="253"/>
      <c r="H157" s="253"/>
      <c r="I157" s="253"/>
      <c r="J157" s="253"/>
    </row>
    <row r="158" spans="1:10" ht="14">
      <c r="A158" s="253"/>
      <c r="B158" s="253"/>
      <c r="C158" s="253"/>
      <c r="D158" s="253"/>
      <c r="E158" s="253"/>
      <c r="F158" s="253"/>
      <c r="G158" s="253"/>
      <c r="H158" s="253"/>
      <c r="I158" s="253"/>
      <c r="J158" s="253"/>
    </row>
    <row r="159" spans="1:10" ht="14">
      <c r="A159" s="253"/>
      <c r="B159" s="253"/>
      <c r="C159" s="253"/>
      <c r="D159" s="253"/>
      <c r="E159" s="253"/>
      <c r="F159" s="253"/>
      <c r="G159" s="253"/>
      <c r="H159" s="253"/>
      <c r="I159" s="253"/>
      <c r="J159" s="253"/>
    </row>
    <row r="160" spans="1:10" ht="14">
      <c r="A160" s="253"/>
      <c r="B160" s="253"/>
      <c r="C160" s="253"/>
      <c r="D160" s="253"/>
      <c r="E160" s="253"/>
      <c r="F160" s="253"/>
      <c r="G160" s="253"/>
      <c r="H160" s="253"/>
      <c r="I160" s="253"/>
      <c r="J160" s="253"/>
    </row>
    <row r="161" spans="1:4" ht="14">
      <c r="A161" s="253"/>
      <c r="B161" s="253"/>
      <c r="C161" s="253"/>
      <c r="D161" s="253"/>
    </row>
    <row r="162" spans="1:4" ht="14">
      <c r="A162" s="253"/>
      <c r="B162" s="253"/>
      <c r="C162" s="253"/>
      <c r="D162" s="253"/>
    </row>
    <row r="163" spans="1:4" ht="14">
      <c r="A163" s="253"/>
      <c r="B163" s="253"/>
      <c r="C163" s="253"/>
      <c r="D163" s="253"/>
    </row>
    <row r="164" spans="1:4" ht="14">
      <c r="A164" s="253"/>
      <c r="B164" s="253"/>
      <c r="C164" s="253"/>
      <c r="D164" s="253"/>
    </row>
    <row r="165" spans="1:4" ht="14">
      <c r="A165" s="253"/>
      <c r="B165" s="253"/>
      <c r="C165" s="253"/>
      <c r="D165" s="253"/>
    </row>
    <row r="166" spans="1:4" ht="14">
      <c r="A166" s="253"/>
      <c r="B166" s="253"/>
      <c r="C166" s="253"/>
      <c r="D166" s="253"/>
    </row>
    <row r="167" spans="1:4" ht="14">
      <c r="A167" s="253"/>
      <c r="B167" s="253"/>
      <c r="C167" s="253"/>
      <c r="D167" s="253"/>
    </row>
  </sheetData>
  <sheetProtection algorithmName="SHA-512" hashValue="+ZpD1dZQUsVWzMBGCQD6emlrq6+vfawxRBEKfKh6ZYO133Tp2hYqEOLWk1OgzpDrtaSOaN1t//vR3qH+K5IgNg==" saltValue="4yBmCld/LjITX8SfVFPglg=="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9"/>
  <sheetViews>
    <sheetView view="pageBreakPreview" zoomScaleSheetLayoutView="100" workbookViewId="0">
      <selection activeCell="B8" sqref="B8:C8"/>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14" t="s">
        <v>128</v>
      </c>
      <c r="B1" s="2015"/>
      <c r="C1" s="2015"/>
      <c r="D1" s="2015"/>
      <c r="E1" s="2015"/>
      <c r="F1" s="2015"/>
      <c r="G1" s="2015"/>
      <c r="H1" s="2016"/>
      <c r="I1" s="2027"/>
      <c r="J1" s="2028"/>
    </row>
    <row r="2" spans="1:20" s="38" customFormat="1" ht="12" customHeight="1" thickBot="1">
      <c r="A2" s="2026"/>
      <c r="B2" s="2026"/>
      <c r="C2" s="2026"/>
      <c r="D2" s="2026"/>
      <c r="E2" s="2026"/>
      <c r="F2" s="2026"/>
      <c r="G2" s="2026"/>
      <c r="H2" s="2026"/>
      <c r="I2" s="2026"/>
      <c r="J2" s="2026"/>
      <c r="K2" s="27"/>
      <c r="L2" s="27"/>
      <c r="M2" s="27"/>
    </row>
    <row r="3" spans="1:20" s="38" customFormat="1" ht="26" customHeight="1" thickBot="1">
      <c r="A3" s="1187" t="s">
        <v>482</v>
      </c>
      <c r="B3" s="1188"/>
      <c r="C3" s="1188"/>
      <c r="D3" s="1188"/>
      <c r="E3" s="1188"/>
      <c r="F3" s="1188"/>
      <c r="G3" s="1188"/>
      <c r="H3" s="1246"/>
      <c r="I3" s="2029"/>
      <c r="J3" s="1625"/>
      <c r="K3" s="27"/>
    </row>
    <row r="4" spans="1:20" ht="21" customHeight="1" thickBot="1">
      <c r="A4" s="97"/>
      <c r="B4" s="2039" t="s">
        <v>37</v>
      </c>
      <c r="C4" s="2040"/>
      <c r="D4" s="2040"/>
      <c r="E4" s="2040"/>
      <c r="F4" s="2040"/>
      <c r="G4" s="2040"/>
      <c r="H4" s="2041"/>
      <c r="I4" s="2029"/>
      <c r="J4" s="1625"/>
      <c r="K4" s="2"/>
    </row>
    <row r="5" spans="1:20" ht="15" customHeight="1">
      <c r="A5" s="2009"/>
      <c r="B5" s="1530" t="s">
        <v>34</v>
      </c>
      <c r="C5" s="1459"/>
      <c r="D5" s="1530" t="s">
        <v>105</v>
      </c>
      <c r="E5" s="1459"/>
      <c r="F5" s="1530" t="s">
        <v>106</v>
      </c>
      <c r="G5" s="1459"/>
      <c r="H5" s="2011" t="s">
        <v>107</v>
      </c>
      <c r="I5" s="2029"/>
      <c r="J5" s="1625"/>
      <c r="K5" s="2"/>
    </row>
    <row r="6" spans="1:20" ht="33.75" customHeight="1" thickBot="1">
      <c r="A6" s="2010"/>
      <c r="B6" s="1535"/>
      <c r="C6" s="1537"/>
      <c r="D6" s="1535"/>
      <c r="E6" s="1537"/>
      <c r="F6" s="1535"/>
      <c r="G6" s="1537"/>
      <c r="H6" s="2012"/>
      <c r="I6" s="2029"/>
      <c r="J6" s="1625"/>
      <c r="K6" s="2"/>
    </row>
    <row r="7" spans="1:20" ht="17" customHeight="1">
      <c r="A7" s="98" t="s">
        <v>35</v>
      </c>
      <c r="B7" s="2033">
        <v>94.65</v>
      </c>
      <c r="C7" s="2034"/>
      <c r="D7" s="2033">
        <v>63.1</v>
      </c>
      <c r="E7" s="2034"/>
      <c r="F7" s="2017">
        <v>31.55</v>
      </c>
      <c r="G7" s="2017"/>
      <c r="H7" s="140">
        <v>0</v>
      </c>
      <c r="I7" s="2029"/>
      <c r="J7" s="1625"/>
      <c r="K7" s="2"/>
    </row>
    <row r="8" spans="1:20" ht="17" customHeight="1" thickBot="1">
      <c r="A8" s="99" t="s">
        <v>36</v>
      </c>
      <c r="B8" s="2018">
        <v>189.35</v>
      </c>
      <c r="C8" s="2019"/>
      <c r="D8" s="2035">
        <v>126.25</v>
      </c>
      <c r="E8" s="2036"/>
      <c r="F8" s="2013">
        <v>63.1</v>
      </c>
      <c r="G8" s="2013"/>
      <c r="H8" s="141">
        <v>0</v>
      </c>
      <c r="I8" s="2029"/>
      <c r="J8" s="1625"/>
      <c r="K8" s="2"/>
    </row>
    <row r="9" spans="1:20" ht="17" customHeight="1" thickBot="1">
      <c r="A9" s="100" t="s">
        <v>22</v>
      </c>
      <c r="B9" s="2020">
        <f>SUM(B7:C8)</f>
        <v>284</v>
      </c>
      <c r="C9" s="2020"/>
      <c r="D9" s="2037">
        <f>SUM(D7:E8)</f>
        <v>189.35</v>
      </c>
      <c r="E9" s="2038"/>
      <c r="F9" s="2020">
        <f>SUM(F7:G8)</f>
        <v>94.65</v>
      </c>
      <c r="G9" s="2020"/>
      <c r="H9" s="142">
        <f>SUM(H7:I8)</f>
        <v>0</v>
      </c>
      <c r="I9" s="2029"/>
      <c r="J9" s="1625"/>
      <c r="K9" s="143"/>
    </row>
    <row r="10" spans="1:20" ht="17" customHeight="1">
      <c r="A10" s="2030" t="s">
        <v>294</v>
      </c>
      <c r="B10" s="2030"/>
      <c r="C10" s="2030"/>
      <c r="D10" s="2030"/>
      <c r="E10" s="2030"/>
      <c r="F10" s="2030"/>
      <c r="G10" s="2030"/>
      <c r="H10" s="2030"/>
      <c r="I10" s="2032"/>
      <c r="J10" s="2032"/>
      <c r="K10" s="6"/>
      <c r="L10" s="2"/>
      <c r="M10" s="143"/>
    </row>
    <row r="11" spans="1:20" ht="16" customHeight="1" thickBot="1">
      <c r="A11" s="2031"/>
      <c r="B11" s="2031"/>
      <c r="C11" s="2031"/>
      <c r="D11" s="2031"/>
      <c r="E11" s="2031"/>
      <c r="F11" s="2031"/>
      <c r="G11" s="2031"/>
      <c r="H11" s="2031"/>
      <c r="I11" s="2031"/>
      <c r="J11" s="2031"/>
      <c r="K11" s="2"/>
      <c r="L11" s="2"/>
      <c r="M11" s="2"/>
    </row>
    <row r="12" spans="1:20" s="2" customFormat="1" ht="26" customHeight="1" thickBot="1">
      <c r="A12" s="1994" t="s">
        <v>67</v>
      </c>
      <c r="B12" s="1995"/>
      <c r="C12" s="1995"/>
      <c r="D12" s="1995"/>
      <c r="E12" s="1995"/>
      <c r="F12" s="1995"/>
      <c r="G12" s="1995"/>
      <c r="H12" s="1996"/>
      <c r="M12" s="16"/>
      <c r="N12" s="16"/>
      <c r="O12" s="16"/>
      <c r="P12" s="16"/>
      <c r="Q12" s="16"/>
      <c r="R12" s="16"/>
      <c r="S12" s="16"/>
      <c r="T12" s="16"/>
    </row>
    <row r="13" spans="1:20" s="2" customFormat="1" ht="21" customHeight="1" thickBot="1">
      <c r="A13" s="2021" t="s">
        <v>228</v>
      </c>
      <c r="B13" s="2022"/>
      <c r="C13" s="2022"/>
      <c r="D13" s="2022"/>
      <c r="E13" s="2022"/>
      <c r="F13" s="2022"/>
      <c r="G13" s="2023"/>
      <c r="H13" s="114" t="s">
        <v>66</v>
      </c>
      <c r="M13" s="16"/>
      <c r="N13" s="16"/>
      <c r="O13" s="16"/>
      <c r="P13" s="16"/>
      <c r="Q13" s="16"/>
      <c r="R13" s="16"/>
      <c r="S13" s="16"/>
      <c r="T13" s="16"/>
    </row>
    <row r="14" spans="1:20" s="2" customFormat="1" ht="17" customHeight="1" thickBot="1">
      <c r="A14" s="2050" t="s">
        <v>68</v>
      </c>
      <c r="B14" s="2051"/>
      <c r="C14" s="2051"/>
      <c r="D14" s="2051"/>
      <c r="E14" s="2051"/>
      <c r="F14" s="2051"/>
      <c r="G14" s="2052"/>
      <c r="H14" s="115">
        <v>108.35</v>
      </c>
      <c r="M14" s="16"/>
      <c r="N14" s="16"/>
      <c r="O14" s="16"/>
      <c r="P14" s="16"/>
      <c r="Q14" s="16"/>
      <c r="R14" s="16"/>
      <c r="S14" s="16"/>
      <c r="T14" s="16"/>
    </row>
    <row r="15" spans="1:20" s="2" customFormat="1" ht="21" customHeight="1" thickBot="1">
      <c r="A15" s="2053" t="s">
        <v>506</v>
      </c>
      <c r="B15" s="2054"/>
      <c r="C15" s="2054"/>
      <c r="D15" s="2054"/>
      <c r="E15" s="2054"/>
      <c r="F15" s="2054"/>
      <c r="G15" s="2055"/>
      <c r="H15" s="116" t="s">
        <v>92</v>
      </c>
      <c r="M15" s="16"/>
      <c r="N15" s="16"/>
      <c r="O15" s="16"/>
      <c r="P15" s="16"/>
      <c r="Q15" s="16"/>
      <c r="R15" s="16"/>
      <c r="S15" s="16"/>
      <c r="T15" s="16"/>
    </row>
    <row r="16" spans="1:20" s="2" customFormat="1" ht="16" customHeight="1">
      <c r="A16" s="2056" t="s">
        <v>186</v>
      </c>
      <c r="B16" s="2057"/>
      <c r="C16" s="2057"/>
      <c r="D16" s="2057"/>
      <c r="E16" s="2057"/>
      <c r="F16" s="2057"/>
      <c r="G16" s="2058"/>
      <c r="H16" s="2062">
        <v>176.5</v>
      </c>
      <c r="M16" s="16"/>
      <c r="N16" s="16"/>
      <c r="O16" s="16"/>
      <c r="P16" s="16"/>
      <c r="Q16" s="16"/>
      <c r="R16" s="16"/>
      <c r="S16" s="16"/>
      <c r="T16" s="16"/>
    </row>
    <row r="17" spans="1:20" s="2" customFormat="1" ht="16" customHeight="1" thickBot="1">
      <c r="A17" s="2059"/>
      <c r="B17" s="2060"/>
      <c r="C17" s="2060"/>
      <c r="D17" s="2060"/>
      <c r="E17" s="2060"/>
      <c r="F17" s="2060"/>
      <c r="G17" s="2061"/>
      <c r="H17" s="2063"/>
      <c r="M17" s="16"/>
      <c r="N17" s="16"/>
      <c r="O17" s="16"/>
      <c r="P17" s="16"/>
      <c r="Q17" s="16"/>
      <c r="R17" s="16"/>
      <c r="S17" s="16"/>
      <c r="T17" s="16"/>
    </row>
    <row r="18" spans="1:20" s="2" customFormat="1" ht="16" customHeight="1" thickBot="1">
      <c r="A18" s="2184" t="s">
        <v>551</v>
      </c>
      <c r="B18" s="2185"/>
      <c r="C18" s="2185"/>
      <c r="D18" s="2185"/>
      <c r="E18" s="2185"/>
      <c r="F18" s="2185"/>
      <c r="G18" s="2186"/>
      <c r="H18" s="2187" t="str">
        <f>H15</f>
        <v>Kr.</v>
      </c>
      <c r="M18" s="2188"/>
      <c r="N18" s="2188"/>
      <c r="O18" s="2188"/>
      <c r="P18" s="2188"/>
      <c r="Q18" s="2188"/>
      <c r="R18" s="2188"/>
      <c r="S18" s="2188"/>
      <c r="T18" s="2188"/>
    </row>
    <row r="19" spans="1:20" ht="26" customHeight="1" thickBot="1">
      <c r="A19" s="2189" t="s">
        <v>552</v>
      </c>
      <c r="B19" s="2190"/>
      <c r="C19" s="2190"/>
      <c r="D19" s="2190"/>
      <c r="E19" s="2190"/>
      <c r="F19" s="2190"/>
      <c r="G19" s="2190"/>
      <c r="H19" s="1072">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87" t="s">
        <v>296</v>
      </c>
      <c r="B21" s="1188"/>
      <c r="C21" s="1188"/>
      <c r="D21" s="1188"/>
      <c r="E21" s="1188"/>
      <c r="F21" s="1188"/>
      <c r="G21" s="1188"/>
      <c r="H21" s="1246"/>
      <c r="I21" s="20"/>
      <c r="J21" s="20"/>
      <c r="K21" s="2"/>
      <c r="L21" s="2"/>
      <c r="M21" s="2"/>
    </row>
    <row r="22" spans="1:20" ht="24" customHeight="1">
      <c r="A22" s="2065" t="s">
        <v>38</v>
      </c>
      <c r="B22" s="1530" t="s">
        <v>42</v>
      </c>
      <c r="C22" s="1531"/>
      <c r="D22" s="1459"/>
      <c r="E22" s="1530" t="s">
        <v>42</v>
      </c>
      <c r="F22" s="1531"/>
      <c r="G22" s="1531"/>
      <c r="H22" s="1459"/>
      <c r="I22" s="45"/>
      <c r="J22" s="45"/>
      <c r="K22" s="45"/>
      <c r="L22" s="2"/>
      <c r="M22" s="2"/>
      <c r="N22" s="2"/>
    </row>
    <row r="23" spans="1:20" ht="16" thickBot="1">
      <c r="A23" s="2010"/>
      <c r="B23" s="2047">
        <v>40999</v>
      </c>
      <c r="C23" s="2048"/>
      <c r="D23" s="2049"/>
      <c r="E23" s="2047" t="str">
        <f>'Løntabel gældende fra'!$D$1</f>
        <v>01/04/2022</v>
      </c>
      <c r="F23" s="2048"/>
      <c r="G23" s="2048"/>
      <c r="H23" s="2049"/>
      <c r="I23" s="2046"/>
      <c r="J23" s="2046"/>
      <c r="K23" s="2046"/>
      <c r="L23" s="2"/>
      <c r="M23" s="2"/>
      <c r="N23" s="2"/>
    </row>
    <row r="24" spans="1:20" ht="17" customHeight="1">
      <c r="A24" s="93" t="s">
        <v>39</v>
      </c>
      <c r="B24" s="2071">
        <v>6000</v>
      </c>
      <c r="C24" s="2072"/>
      <c r="D24" s="2073"/>
      <c r="E24" s="2066">
        <f>ROUND(B24+B24*'Løntabel gældende fra'!$D$7%,2)</f>
        <v>6804.62</v>
      </c>
      <c r="F24" s="2066"/>
      <c r="G24" s="2066"/>
      <c r="H24" s="2067"/>
      <c r="I24" s="2046"/>
      <c r="J24" s="2046"/>
      <c r="K24" s="2046"/>
      <c r="L24" s="2"/>
      <c r="M24" s="2"/>
      <c r="N24" s="2"/>
    </row>
    <row r="25" spans="1:20" ht="17" customHeight="1">
      <c r="A25" s="94" t="s">
        <v>40</v>
      </c>
      <c r="B25" s="2074">
        <v>7600</v>
      </c>
      <c r="C25" s="2075"/>
      <c r="D25" s="2076"/>
      <c r="E25" s="2069">
        <f>ROUND(B25+B25*'Løntabel gældende fra'!$D$7%,2)</f>
        <v>8619.19</v>
      </c>
      <c r="F25" s="2069"/>
      <c r="G25" s="2069"/>
      <c r="H25" s="2070"/>
      <c r="I25" s="2068"/>
      <c r="J25" s="2068"/>
      <c r="K25" s="25"/>
      <c r="L25" s="2"/>
      <c r="M25" s="2"/>
      <c r="N25" s="2"/>
    </row>
    <row r="26" spans="1:20" ht="17" customHeight="1" thickBot="1">
      <c r="A26" s="95" t="s">
        <v>41</v>
      </c>
      <c r="B26" s="2079">
        <v>9000</v>
      </c>
      <c r="C26" s="2080"/>
      <c r="D26" s="2081"/>
      <c r="E26" s="2077">
        <f>ROUND(B26+B26*'Løntabel gældende fra'!$D$7%,2)</f>
        <v>10206.94</v>
      </c>
      <c r="F26" s="2077"/>
      <c r="G26" s="2077"/>
      <c r="H26" s="2078"/>
      <c r="I26" s="2064"/>
      <c r="J26" s="2064"/>
      <c r="K26" s="26"/>
      <c r="L26" s="2"/>
      <c r="M26" s="2"/>
      <c r="N26" s="2"/>
    </row>
    <row r="27" spans="1:20" ht="14" customHeight="1" thickBot="1">
      <c r="A27" s="2"/>
      <c r="B27" s="2"/>
      <c r="C27" s="2"/>
      <c r="D27" s="2"/>
      <c r="E27" s="2"/>
      <c r="F27" s="2"/>
      <c r="G27" s="2"/>
      <c r="H27" s="2"/>
      <c r="I27" s="2064"/>
      <c r="J27" s="2064"/>
      <c r="K27" s="26"/>
      <c r="L27" s="2"/>
      <c r="M27" s="2"/>
      <c r="N27" s="2"/>
    </row>
    <row r="28" spans="1:20" ht="26" customHeight="1" thickBot="1">
      <c r="A28" s="1187" t="s">
        <v>401</v>
      </c>
      <c r="B28" s="1188"/>
      <c r="C28" s="1188"/>
      <c r="D28" s="1188"/>
      <c r="E28" s="1188"/>
      <c r="F28" s="1188"/>
      <c r="G28" s="1188"/>
      <c r="H28" s="1246"/>
      <c r="I28" s="2"/>
      <c r="J28" s="2"/>
      <c r="K28" s="2"/>
      <c r="L28" s="2"/>
      <c r="M28" s="2"/>
    </row>
    <row r="29" spans="1:20" ht="18.75" customHeight="1" thickBot="1">
      <c r="A29" s="2099">
        <v>2022</v>
      </c>
      <c r="B29" s="2100"/>
      <c r="C29" s="2100"/>
      <c r="D29" s="2101"/>
      <c r="E29" s="1183" t="s">
        <v>133</v>
      </c>
      <c r="F29" s="1184"/>
      <c r="G29" s="1997" t="s">
        <v>134</v>
      </c>
      <c r="H29" s="1999"/>
      <c r="I29" s="217"/>
      <c r="J29" s="27"/>
      <c r="K29" s="27"/>
      <c r="L29" s="2"/>
      <c r="M29" s="2"/>
    </row>
    <row r="30" spans="1:20" ht="62" customHeight="1" thickBot="1">
      <c r="A30" s="2102"/>
      <c r="B30" s="2103"/>
      <c r="C30" s="2103"/>
      <c r="D30" s="2104"/>
      <c r="E30" s="595" t="s">
        <v>404</v>
      </c>
      <c r="F30" s="595" t="s">
        <v>329</v>
      </c>
      <c r="G30" s="563" t="s">
        <v>404</v>
      </c>
      <c r="H30" s="596" t="s">
        <v>329</v>
      </c>
      <c r="I30" s="631"/>
      <c r="J30" s="631"/>
      <c r="K30" s="28"/>
      <c r="L30" s="27"/>
      <c r="M30" s="2"/>
      <c r="N30" s="2"/>
    </row>
    <row r="31" spans="1:20" ht="17" customHeight="1">
      <c r="A31" s="2000" t="s">
        <v>135</v>
      </c>
      <c r="B31" s="2001"/>
      <c r="C31" s="2001"/>
      <c r="D31" s="630"/>
      <c r="E31" s="597">
        <v>463</v>
      </c>
      <c r="F31" s="213">
        <f t="shared" ref="F31:F36" si="0">ROUND(E31/24,2)</f>
        <v>19.29</v>
      </c>
      <c r="G31" s="286">
        <v>546</v>
      </c>
      <c r="H31" s="601">
        <f t="shared" ref="H31:H36" si="1">ROUND(G31/24,2)</f>
        <v>22.75</v>
      </c>
      <c r="I31" s="631"/>
      <c r="J31" s="631"/>
      <c r="K31" s="28"/>
      <c r="L31" s="27"/>
      <c r="M31" s="2"/>
      <c r="N31" s="2"/>
    </row>
    <row r="32" spans="1:20" ht="17" customHeight="1">
      <c r="A32" s="2097" t="s">
        <v>332</v>
      </c>
      <c r="B32" s="2098"/>
      <c r="C32" s="2098"/>
      <c r="D32" s="629"/>
      <c r="E32" s="598">
        <f>(E31*15)/100</f>
        <v>69.45</v>
      </c>
      <c r="F32" s="214">
        <f t="shared" si="0"/>
        <v>2.89</v>
      </c>
      <c r="G32" s="287">
        <f>(G31*15)/100</f>
        <v>81.900000000000006</v>
      </c>
      <c r="H32" s="602">
        <f t="shared" si="1"/>
        <v>3.41</v>
      </c>
      <c r="I32" s="212"/>
      <c r="K32" s="52"/>
      <c r="L32" s="27"/>
      <c r="M32" s="2"/>
      <c r="N32" s="2"/>
    </row>
    <row r="33" spans="1:14" ht="17" customHeight="1">
      <c r="A33" s="2097" t="s">
        <v>333</v>
      </c>
      <c r="B33" s="2098"/>
      <c r="C33" s="2098"/>
      <c r="D33" s="629"/>
      <c r="E33" s="598">
        <f>(E31*30)/100</f>
        <v>138.9</v>
      </c>
      <c r="F33" s="214">
        <f t="shared" si="0"/>
        <v>5.79</v>
      </c>
      <c r="G33" s="288">
        <f>(G31*30)/100</f>
        <v>163.80000000000001</v>
      </c>
      <c r="H33" s="602">
        <f t="shared" si="1"/>
        <v>6.83</v>
      </c>
      <c r="I33" s="212"/>
      <c r="K33" s="53"/>
      <c r="L33" s="290"/>
      <c r="M33" s="2"/>
      <c r="N33" s="2"/>
    </row>
    <row r="34" spans="1:14" ht="17" customHeight="1">
      <c r="A34" s="2097" t="s">
        <v>334</v>
      </c>
      <c r="B34" s="2098"/>
      <c r="C34" s="2098"/>
      <c r="D34" s="629"/>
      <c r="E34" s="598">
        <f>(E31*30)/100</f>
        <v>138.9</v>
      </c>
      <c r="F34" s="214">
        <f t="shared" si="0"/>
        <v>5.79</v>
      </c>
      <c r="G34" s="289">
        <f>(G31*30)/100</f>
        <v>163.80000000000001</v>
      </c>
      <c r="H34" s="602">
        <f t="shared" si="1"/>
        <v>6.83</v>
      </c>
      <c r="I34" s="212"/>
      <c r="K34" s="54"/>
      <c r="L34" s="27"/>
      <c r="M34" s="2"/>
      <c r="N34" s="2"/>
    </row>
    <row r="35" spans="1:14" ht="17" customHeight="1">
      <c r="A35" s="2097" t="s">
        <v>335</v>
      </c>
      <c r="B35" s="2098"/>
      <c r="C35" s="2098"/>
      <c r="D35" s="629"/>
      <c r="E35" s="598">
        <f>(E31*75)/100</f>
        <v>347.25</v>
      </c>
      <c r="F35" s="214">
        <f t="shared" si="0"/>
        <v>14.47</v>
      </c>
      <c r="G35" s="288">
        <f>(G31*75)/100</f>
        <v>409.5</v>
      </c>
      <c r="H35" s="602">
        <f t="shared" si="1"/>
        <v>17.059999999999999</v>
      </c>
      <c r="I35" s="212"/>
      <c r="K35" s="55"/>
      <c r="L35" s="27"/>
      <c r="M35" s="2"/>
      <c r="N35" s="2"/>
    </row>
    <row r="36" spans="1:14" ht="17" customHeight="1" thickBot="1">
      <c r="A36" s="2112" t="s">
        <v>58</v>
      </c>
      <c r="B36" s="2113"/>
      <c r="C36" s="2113"/>
      <c r="D36" s="632"/>
      <c r="E36" s="599">
        <f>E31-E35</f>
        <v>115.75</v>
      </c>
      <c r="F36" s="215">
        <f t="shared" si="0"/>
        <v>4.82</v>
      </c>
      <c r="G36" s="494">
        <f>G31-G35</f>
        <v>136.5</v>
      </c>
      <c r="H36" s="603">
        <f t="shared" si="1"/>
        <v>5.69</v>
      </c>
      <c r="I36" s="212"/>
      <c r="K36" s="55"/>
      <c r="L36" s="27"/>
      <c r="M36" s="2"/>
      <c r="N36" s="2"/>
    </row>
    <row r="37" spans="1:14" ht="17" customHeight="1" thickBot="1">
      <c r="A37" s="82"/>
      <c r="B37" s="82"/>
      <c r="C37" s="82"/>
      <c r="D37" s="102"/>
      <c r="E37" s="102"/>
      <c r="F37" s="102"/>
      <c r="G37" s="600"/>
      <c r="H37" s="212"/>
      <c r="I37" s="212"/>
      <c r="K37" s="55"/>
      <c r="L37" s="27"/>
      <c r="M37" s="2"/>
      <c r="N37" s="2"/>
    </row>
    <row r="38" spans="1:14" ht="26" customHeight="1" thickBot="1">
      <c r="A38" s="1187" t="s">
        <v>59</v>
      </c>
      <c r="B38" s="1188"/>
      <c r="C38" s="1188"/>
      <c r="D38" s="1188"/>
      <c r="E38" s="1188"/>
      <c r="F38" s="1188"/>
      <c r="G38" s="1188"/>
      <c r="H38" s="1246"/>
      <c r="J38" s="27"/>
      <c r="K38" s="27"/>
      <c r="L38" s="2"/>
      <c r="M38" s="2"/>
    </row>
    <row r="39" spans="1:14" ht="24" customHeight="1">
      <c r="A39" s="2006" t="s">
        <v>534</v>
      </c>
      <c r="B39" s="2007"/>
      <c r="C39" s="2007"/>
      <c r="D39" s="2007"/>
      <c r="E39" s="2007"/>
      <c r="F39" s="2007"/>
      <c r="G39" s="2008"/>
      <c r="H39" s="117" t="s">
        <v>66</v>
      </c>
      <c r="I39" s="628"/>
      <c r="J39" s="628"/>
      <c r="K39" s="2"/>
      <c r="L39" s="2"/>
      <c r="M39" s="2"/>
    </row>
    <row r="40" spans="1:14" ht="17.25" customHeight="1">
      <c r="A40" s="2114" t="s">
        <v>132</v>
      </c>
      <c r="B40" s="2115"/>
      <c r="C40" s="2115"/>
      <c r="D40" s="2115"/>
      <c r="E40" s="564"/>
      <c r="F40" s="564"/>
      <c r="G40" s="633"/>
      <c r="H40" s="118">
        <v>2.17</v>
      </c>
      <c r="I40" s="627"/>
      <c r="J40" s="628"/>
      <c r="K40" s="628"/>
      <c r="L40" s="2"/>
      <c r="M40" s="2"/>
      <c r="N40" s="2"/>
    </row>
    <row r="41" spans="1:14" ht="17" customHeight="1" thickBot="1">
      <c r="A41" s="2116" t="s">
        <v>536</v>
      </c>
      <c r="B41" s="2117"/>
      <c r="C41" s="2117"/>
      <c r="D41" s="2117"/>
      <c r="E41" s="565"/>
      <c r="F41" s="565"/>
      <c r="G41" s="634"/>
      <c r="H41" s="119">
        <v>3.7</v>
      </c>
      <c r="I41" s="627"/>
      <c r="J41" s="628"/>
      <c r="K41" s="628"/>
      <c r="L41" s="2"/>
      <c r="M41" s="2"/>
      <c r="N41" s="2"/>
    </row>
    <row r="42" spans="1:14" ht="17" customHeight="1">
      <c r="A42" s="2042" t="s">
        <v>535</v>
      </c>
      <c r="B42" s="2042"/>
      <c r="C42" s="2042"/>
      <c r="D42" s="2042"/>
      <c r="E42" s="566"/>
      <c r="F42" s="566"/>
      <c r="G42" s="47"/>
      <c r="H42" s="626"/>
      <c r="I42" s="626"/>
      <c r="J42" s="626"/>
      <c r="K42" s="626"/>
    </row>
    <row r="43" spans="1:14" ht="18" customHeight="1" thickBot="1">
      <c r="A43" s="763"/>
      <c r="B43" s="763"/>
      <c r="C43" s="763"/>
      <c r="D43" s="763"/>
      <c r="E43" s="763"/>
      <c r="F43" s="763"/>
      <c r="G43" s="763"/>
      <c r="H43" s="763"/>
      <c r="I43" s="626"/>
      <c r="J43" s="626"/>
    </row>
    <row r="44" spans="1:14" ht="26" customHeight="1" thickBot="1">
      <c r="A44" s="1187" t="s">
        <v>63</v>
      </c>
      <c r="B44" s="1188"/>
      <c r="C44" s="1188"/>
      <c r="D44" s="1188"/>
      <c r="E44" s="1188"/>
      <c r="F44" s="1188"/>
      <c r="G44" s="1188"/>
      <c r="H44" s="1246"/>
      <c r="I44" s="763"/>
      <c r="J44" s="763"/>
    </row>
    <row r="45" spans="1:14" ht="24" customHeight="1" thickBot="1">
      <c r="A45" s="1997">
        <v>2022</v>
      </c>
      <c r="B45" s="1998"/>
      <c r="C45" s="1998"/>
      <c r="D45" s="1998"/>
      <c r="E45" s="1998"/>
      <c r="F45" s="1998"/>
      <c r="G45" s="1999"/>
      <c r="H45" s="101" t="s">
        <v>66</v>
      </c>
    </row>
    <row r="46" spans="1:14" ht="19" customHeight="1">
      <c r="A46" s="2000" t="s">
        <v>64</v>
      </c>
      <c r="B46" s="2001"/>
      <c r="C46" s="2001"/>
      <c r="D46" s="2001"/>
      <c r="E46" s="2001"/>
      <c r="F46" s="2001"/>
      <c r="G46" s="2002"/>
      <c r="H46" s="120">
        <v>893</v>
      </c>
    </row>
    <row r="47" spans="1:14" ht="17" customHeight="1" thickBot="1">
      <c r="A47" s="2003" t="s">
        <v>65</v>
      </c>
      <c r="B47" s="2004"/>
      <c r="C47" s="2004"/>
      <c r="D47" s="2004"/>
      <c r="E47" s="2004"/>
      <c r="F47" s="2004"/>
      <c r="G47" s="2005"/>
      <c r="H47" s="119">
        <v>596</v>
      </c>
      <c r="I47" s="909"/>
      <c r="J47" s="909"/>
      <c r="K47" s="909"/>
    </row>
    <row r="48" spans="1:14" ht="18" customHeight="1" thickBot="1">
      <c r="A48" s="2111"/>
      <c r="B48" s="2111"/>
      <c r="C48" s="2111"/>
      <c r="D48" s="2111"/>
      <c r="E48" s="2111"/>
      <c r="F48" s="2111"/>
      <c r="G48" s="2111"/>
      <c r="H48" s="2111"/>
      <c r="I48" s="909"/>
      <c r="J48" s="909"/>
    </row>
    <row r="49" spans="1:16" ht="26" customHeight="1" thickBot="1">
      <c r="A49" s="1187" t="s">
        <v>476</v>
      </c>
      <c r="B49" s="1188"/>
      <c r="C49" s="1188"/>
      <c r="D49" s="1188"/>
      <c r="E49" s="1188"/>
      <c r="F49" s="1188"/>
      <c r="G49" s="1188"/>
      <c r="H49" s="1246"/>
      <c r="I49" s="909"/>
      <c r="J49" s="909"/>
    </row>
    <row r="50" spans="1:16" ht="24" customHeight="1" thickBot="1">
      <c r="A50" s="1997">
        <v>2022</v>
      </c>
      <c r="B50" s="1998"/>
      <c r="C50" s="1998"/>
      <c r="D50" s="1998"/>
      <c r="E50" s="1998"/>
      <c r="F50" s="1998"/>
      <c r="G50" s="1999"/>
      <c r="H50" s="101" t="s">
        <v>66</v>
      </c>
    </row>
    <row r="51" spans="1:16" ht="19" customHeight="1">
      <c r="A51" s="2000" t="s">
        <v>475</v>
      </c>
      <c r="B51" s="2001"/>
      <c r="C51" s="2001"/>
      <c r="D51" s="2001"/>
      <c r="E51" s="2001"/>
      <c r="F51" s="2001"/>
      <c r="G51" s="2002"/>
      <c r="H51" s="120">
        <v>893</v>
      </c>
    </row>
    <row r="52" spans="1:16" ht="17" customHeight="1" thickBot="1">
      <c r="A52" s="2003" t="s">
        <v>477</v>
      </c>
      <c r="B52" s="2004"/>
      <c r="C52" s="2004"/>
      <c r="D52" s="2004"/>
      <c r="E52" s="2004"/>
      <c r="F52" s="2004"/>
      <c r="G52" s="2005"/>
      <c r="H52" s="119">
        <v>447</v>
      </c>
    </row>
    <row r="53" spans="1:16" ht="17" customHeight="1">
      <c r="A53" s="910"/>
      <c r="B53" s="910"/>
      <c r="C53" s="910"/>
      <c r="D53" s="910"/>
      <c r="E53" s="910"/>
      <c r="F53" s="910"/>
      <c r="G53" s="910"/>
      <c r="H53" s="910"/>
    </row>
    <row r="54" spans="1:16" s="38" customFormat="1" ht="12" customHeight="1" thickBot="1">
      <c r="A54" s="910"/>
      <c r="B54" s="910"/>
      <c r="C54" s="910"/>
      <c r="D54" s="910"/>
      <c r="E54" s="910"/>
      <c r="F54" s="910"/>
      <c r="G54" s="910"/>
      <c r="H54"/>
    </row>
    <row r="55" spans="1:16" ht="22" customHeight="1">
      <c r="A55" s="1174" t="s">
        <v>478</v>
      </c>
      <c r="B55" s="1175"/>
      <c r="C55" s="1175"/>
      <c r="D55" s="1175"/>
      <c r="E55" s="1175"/>
      <c r="F55" s="1175"/>
      <c r="G55" s="1175"/>
      <c r="H55" s="1176"/>
    </row>
    <row r="56" spans="1:16" ht="17" customHeight="1" thickBot="1">
      <c r="A56" s="1263" t="s">
        <v>312</v>
      </c>
      <c r="B56" s="1264"/>
      <c r="C56" s="1264"/>
      <c r="D56" s="1264"/>
      <c r="E56" s="1264"/>
      <c r="F56" s="1264"/>
      <c r="G56" s="1264"/>
      <c r="H56" s="1265"/>
      <c r="I56" s="763"/>
      <c r="J56" s="763"/>
    </row>
    <row r="57" spans="1:16" ht="17" customHeight="1">
      <c r="A57" s="706"/>
      <c r="B57" s="707"/>
      <c r="C57" s="707"/>
      <c r="D57" s="707"/>
      <c r="E57" s="707"/>
      <c r="F57" s="707"/>
      <c r="G57" s="709" t="s">
        <v>98</v>
      </c>
      <c r="H57" s="708" t="s">
        <v>103</v>
      </c>
      <c r="I57" s="626"/>
      <c r="J57" s="626"/>
      <c r="K57" s="626"/>
    </row>
    <row r="58" spans="1:16" ht="18" customHeight="1" thickBot="1">
      <c r="A58" s="704"/>
      <c r="B58" s="705"/>
      <c r="C58" s="705"/>
      <c r="D58" s="705"/>
      <c r="E58" s="705"/>
      <c r="F58" s="705"/>
      <c r="G58" s="593">
        <v>40999</v>
      </c>
      <c r="H58" s="610" t="str">
        <f>'Løntabel gældende fra'!$D$1</f>
        <v>01/04/2022</v>
      </c>
      <c r="I58" s="635"/>
      <c r="J58" s="635"/>
      <c r="K58" s="635"/>
    </row>
    <row r="59" spans="1:16" ht="17" customHeight="1">
      <c r="A59" s="2162" t="s">
        <v>222</v>
      </c>
      <c r="B59" s="2163"/>
      <c r="C59" s="2163"/>
      <c r="D59" s="2163"/>
      <c r="E59" s="2163"/>
      <c r="F59" s="1035" t="s">
        <v>165</v>
      </c>
      <c r="G59" s="171">
        <v>22.32</v>
      </c>
      <c r="H59" s="1036">
        <f>G59+G59*'Løntabel gældende fra'!$D$7%</f>
        <v>25.313201280000001</v>
      </c>
      <c r="I59" s="635"/>
      <c r="J59" s="635"/>
      <c r="K59" s="635"/>
    </row>
    <row r="60" spans="1:16" ht="17" customHeight="1">
      <c r="A60" s="2150" t="s">
        <v>504</v>
      </c>
      <c r="B60" s="2151"/>
      <c r="C60" s="2151"/>
      <c r="D60" s="2151"/>
      <c r="E60" s="2151"/>
      <c r="F60" s="2154" t="s">
        <v>165</v>
      </c>
      <c r="G60" s="2156">
        <v>39.92</v>
      </c>
      <c r="H60" s="2158">
        <f>G60+G60*'Løntabel gældende fra'!$D$7%</f>
        <v>45.273431680000002</v>
      </c>
      <c r="I60" s="2024"/>
      <c r="J60" s="2025"/>
      <c r="K60" s="2025"/>
      <c r="L60" s="2025"/>
      <c r="M60" s="2025"/>
      <c r="N60" s="2025"/>
      <c r="O60" s="2025"/>
      <c r="P60" s="2025"/>
    </row>
    <row r="61" spans="1:16" ht="45" customHeight="1">
      <c r="A61" s="2152"/>
      <c r="B61" s="2153"/>
      <c r="C61" s="2153"/>
      <c r="D61" s="2153"/>
      <c r="E61" s="2153"/>
      <c r="F61" s="2155"/>
      <c r="G61" s="2157"/>
      <c r="H61" s="2159"/>
      <c r="I61" s="2024"/>
      <c r="J61" s="2025"/>
      <c r="K61" s="2025"/>
      <c r="L61" s="2025"/>
      <c r="M61" s="2025"/>
      <c r="N61" s="2025"/>
      <c r="O61" s="2025"/>
      <c r="P61" s="2025"/>
    </row>
    <row r="62" spans="1:16" ht="17" customHeight="1">
      <c r="A62" s="2160" t="s">
        <v>240</v>
      </c>
      <c r="B62" s="2161"/>
      <c r="C62" s="2161"/>
      <c r="D62" s="2161"/>
      <c r="E62" s="2161"/>
      <c r="F62" s="1034" t="s">
        <v>165</v>
      </c>
      <c r="G62" s="192">
        <v>39.92</v>
      </c>
      <c r="H62" s="920">
        <f>G62+G62*'Løntabel gældende fra'!$D$7%</f>
        <v>45.273431680000002</v>
      </c>
      <c r="I62" s="2024"/>
      <c r="J62" s="2025"/>
      <c r="K62" s="2025"/>
      <c r="L62" s="2025"/>
      <c r="M62" s="2025"/>
      <c r="N62" s="2025"/>
      <c r="O62" s="2025"/>
      <c r="P62" s="2025"/>
    </row>
    <row r="63" spans="1:16" ht="17" customHeight="1">
      <c r="A63" s="2146" t="s">
        <v>164</v>
      </c>
      <c r="B63" s="2147"/>
      <c r="C63" s="2147"/>
      <c r="D63" s="2147"/>
      <c r="E63" s="2147"/>
      <c r="F63" s="922" t="s">
        <v>165</v>
      </c>
      <c r="G63" s="192">
        <v>39.92</v>
      </c>
      <c r="H63" s="920">
        <f>G63+G63*'Løntabel gældende fra'!$D$7%</f>
        <v>45.273431680000002</v>
      </c>
      <c r="I63" s="2024"/>
      <c r="J63" s="2025"/>
      <c r="K63" s="2025"/>
      <c r="L63" s="2025"/>
      <c r="M63" s="2025"/>
      <c r="N63" s="2025"/>
      <c r="O63" s="2025"/>
      <c r="P63" s="2025"/>
    </row>
    <row r="64" spans="1:16" ht="17" customHeight="1">
      <c r="A64" s="2146" t="s">
        <v>503</v>
      </c>
      <c r="B64" s="2147"/>
      <c r="C64" s="2147"/>
      <c r="D64" s="2147"/>
      <c r="E64" s="2147"/>
      <c r="F64" s="922" t="s">
        <v>165</v>
      </c>
      <c r="G64" s="192">
        <v>6.59</v>
      </c>
      <c r="H64" s="920">
        <f>G64+G64*'Løntabel gældende fra'!$D$7%</f>
        <v>7.4737453599999997</v>
      </c>
      <c r="I64" s="2024"/>
      <c r="J64" s="2025"/>
      <c r="K64" s="2025"/>
      <c r="L64" s="2025"/>
      <c r="M64" s="2025"/>
      <c r="N64" s="2025"/>
      <c r="O64" s="2025"/>
      <c r="P64" s="2025"/>
    </row>
    <row r="65" spans="1:16" ht="17" customHeight="1" thickBot="1">
      <c r="A65" s="2148" t="s">
        <v>421</v>
      </c>
      <c r="B65" s="2149"/>
      <c r="C65" s="2149"/>
      <c r="D65" s="2149"/>
      <c r="E65" s="2149"/>
      <c r="F65" s="923" t="s">
        <v>166</v>
      </c>
      <c r="G65" s="172">
        <v>61.22</v>
      </c>
      <c r="H65" s="921">
        <f>G65+G65*'Løntabel gældende fra'!$D$7%</f>
        <v>69.429846879999999</v>
      </c>
      <c r="I65" s="2024"/>
      <c r="J65" s="2025"/>
      <c r="K65" s="2025"/>
      <c r="L65" s="2025"/>
      <c r="M65" s="2025"/>
      <c r="N65" s="2025"/>
      <c r="O65" s="2025"/>
      <c r="P65" s="2025"/>
    </row>
    <row r="66" spans="1:16" ht="17" customHeight="1" thickBot="1">
      <c r="A66" s="909"/>
      <c r="B66" s="909"/>
      <c r="C66" s="909"/>
      <c r="D66" s="909"/>
      <c r="E66" s="909"/>
      <c r="F66" s="909"/>
      <c r="G66" s="909"/>
      <c r="H66" s="909"/>
      <c r="I66" s="2024"/>
      <c r="J66" s="2025"/>
      <c r="K66" s="2025"/>
      <c r="L66" s="2025"/>
      <c r="M66" s="2025"/>
      <c r="N66" s="2025"/>
      <c r="O66" s="2025"/>
      <c r="P66" s="2025"/>
    </row>
    <row r="67" spans="1:16" ht="17" customHeight="1">
      <c r="A67" s="1309" t="s">
        <v>189</v>
      </c>
      <c r="B67" s="1310"/>
      <c r="C67" s="1310"/>
      <c r="D67" s="1310"/>
      <c r="E67" s="1310"/>
      <c r="F67" s="1310"/>
      <c r="G67" s="1310"/>
      <c r="H67" s="1311"/>
      <c r="I67" s="2024"/>
      <c r="J67" s="2025"/>
      <c r="K67" s="2025"/>
      <c r="L67" s="2025"/>
      <c r="M67" s="2025"/>
      <c r="N67" s="2025"/>
      <c r="O67" s="2025"/>
      <c r="P67" s="2025"/>
    </row>
    <row r="68" spans="1:16" ht="17" customHeight="1" thickBot="1">
      <c r="A68" s="2043" t="s">
        <v>328</v>
      </c>
      <c r="B68" s="2044"/>
      <c r="C68" s="2044"/>
      <c r="D68" s="2044"/>
      <c r="E68" s="2044"/>
      <c r="F68" s="2044"/>
      <c r="G68" s="2044"/>
      <c r="H68" s="2045"/>
      <c r="I68" s="2024"/>
      <c r="J68" s="2025"/>
      <c r="K68" s="2025"/>
      <c r="L68" s="2025"/>
      <c r="M68" s="2025"/>
      <c r="N68" s="2025"/>
      <c r="O68" s="2025"/>
      <c r="P68" s="2025"/>
    </row>
    <row r="69" spans="1:16" ht="17" customHeight="1">
      <c r="A69" s="2105" t="s">
        <v>27</v>
      </c>
      <c r="B69" s="2106"/>
      <c r="C69" s="2106"/>
      <c r="D69" s="2107"/>
      <c r="E69" s="2105" t="s">
        <v>28</v>
      </c>
      <c r="F69" s="2106"/>
      <c r="G69" s="2106"/>
      <c r="H69" s="2107"/>
      <c r="I69" s="2024"/>
      <c r="J69" s="2025"/>
      <c r="K69" s="2025"/>
      <c r="L69" s="2025"/>
      <c r="M69" s="2025"/>
      <c r="N69" s="2025"/>
      <c r="O69" s="2025"/>
      <c r="P69" s="2025"/>
    </row>
    <row r="70" spans="1:16" ht="17" customHeight="1">
      <c r="A70" s="2108">
        <v>40999</v>
      </c>
      <c r="B70" s="2109"/>
      <c r="C70" s="2109"/>
      <c r="D70" s="2110"/>
      <c r="E70" s="2121">
        <v>0</v>
      </c>
      <c r="F70" s="2122"/>
      <c r="G70" s="2122"/>
      <c r="H70" s="2123"/>
      <c r="I70" s="2024"/>
      <c r="J70" s="2025"/>
      <c r="K70" s="2025"/>
      <c r="L70" s="2025"/>
      <c r="M70" s="2025"/>
      <c r="N70" s="2025"/>
      <c r="O70" s="2025"/>
      <c r="P70" s="2025"/>
    </row>
    <row r="71" spans="1:16" ht="17" customHeight="1">
      <c r="A71" s="2108">
        <v>41000</v>
      </c>
      <c r="B71" s="2109"/>
      <c r="C71" s="2109"/>
      <c r="D71" s="2110"/>
      <c r="E71" s="2121">
        <v>1.304</v>
      </c>
      <c r="F71" s="2122"/>
      <c r="G71" s="2122"/>
      <c r="H71" s="2123"/>
      <c r="I71" s="762"/>
      <c r="J71" s="762"/>
    </row>
    <row r="72" spans="1:16" ht="17" customHeight="1">
      <c r="A72" s="2108">
        <v>41365</v>
      </c>
      <c r="B72" s="2109"/>
      <c r="C72" s="2109"/>
      <c r="D72" s="2110"/>
      <c r="E72" s="2121">
        <v>1.304</v>
      </c>
      <c r="F72" s="2122"/>
      <c r="G72" s="2122"/>
      <c r="H72" s="2123"/>
      <c r="I72" s="768"/>
      <c r="J72" s="768"/>
    </row>
    <row r="73" spans="1:16" ht="17" customHeight="1">
      <c r="A73" s="2108">
        <v>41730</v>
      </c>
      <c r="B73" s="2109"/>
      <c r="C73" s="2109"/>
      <c r="D73" s="2110"/>
      <c r="E73" s="2121">
        <v>1.7161999999999999</v>
      </c>
      <c r="F73" s="2122"/>
      <c r="G73" s="2122"/>
      <c r="H73" s="2123"/>
      <c r="I73" s="769"/>
      <c r="J73" s="769"/>
    </row>
    <row r="74" spans="1:16" ht="17" customHeight="1">
      <c r="A74" s="2139">
        <v>42095</v>
      </c>
      <c r="B74" s="2140"/>
      <c r="C74" s="2140"/>
      <c r="D74" s="2141"/>
      <c r="E74" s="2121">
        <v>2.1745000000000001</v>
      </c>
      <c r="F74" s="2122"/>
      <c r="G74" s="2122"/>
      <c r="H74" s="2123"/>
      <c r="I74" s="770"/>
      <c r="J74" s="770"/>
    </row>
    <row r="75" spans="1:16" ht="17" customHeight="1">
      <c r="A75" s="2108">
        <v>42461</v>
      </c>
      <c r="B75" s="2109"/>
      <c r="C75" s="2109"/>
      <c r="D75" s="2110"/>
      <c r="E75" s="2121">
        <v>2.9882</v>
      </c>
      <c r="F75" s="2122"/>
      <c r="G75" s="2122"/>
      <c r="H75" s="2123"/>
      <c r="I75" s="770"/>
      <c r="J75" s="770"/>
    </row>
    <row r="76" spans="1:16" ht="17" customHeight="1">
      <c r="A76" s="2124">
        <v>42826</v>
      </c>
      <c r="B76" s="2125"/>
      <c r="C76" s="2125"/>
      <c r="D76" s="2126"/>
      <c r="E76" s="2121">
        <v>4.2446000000000002</v>
      </c>
      <c r="F76" s="2122"/>
      <c r="G76" s="2122"/>
      <c r="H76" s="2123"/>
      <c r="I76" s="770"/>
      <c r="J76" s="770"/>
    </row>
    <row r="77" spans="1:16" ht="17" customHeight="1">
      <c r="A77" s="2108">
        <v>43070</v>
      </c>
      <c r="B77" s="2109"/>
      <c r="C77" s="2109"/>
      <c r="D77" s="2110"/>
      <c r="E77" s="2121">
        <v>5.7702999999999998</v>
      </c>
      <c r="F77" s="2122"/>
      <c r="G77" s="2122"/>
      <c r="H77" s="2123"/>
      <c r="I77" s="770"/>
      <c r="J77" s="770"/>
    </row>
    <row r="78" spans="1:16" ht="17" customHeight="1">
      <c r="A78" s="2108">
        <v>43191</v>
      </c>
      <c r="B78" s="2109"/>
      <c r="C78" s="2109"/>
      <c r="D78" s="2110"/>
      <c r="E78" s="2121">
        <v>6.9683000000000002</v>
      </c>
      <c r="F78" s="2122"/>
      <c r="G78" s="2122"/>
      <c r="H78" s="2123"/>
      <c r="I78" s="770"/>
      <c r="J78" s="770"/>
    </row>
    <row r="79" spans="1:16" ht="17" customHeight="1">
      <c r="A79" s="2108">
        <v>43374</v>
      </c>
      <c r="B79" s="2109"/>
      <c r="C79" s="2109"/>
      <c r="D79" s="2110"/>
      <c r="E79" s="2121">
        <v>7.4972000000000003</v>
      </c>
      <c r="F79" s="2122"/>
      <c r="G79" s="2122"/>
      <c r="H79" s="2123"/>
      <c r="I79" s="771"/>
      <c r="J79" s="771"/>
    </row>
    <row r="80" spans="1:16" ht="17" customHeight="1">
      <c r="A80" s="2108">
        <v>43556</v>
      </c>
      <c r="B80" s="2109"/>
      <c r="C80" s="2109"/>
      <c r="D80" s="2110"/>
      <c r="E80" s="2121">
        <v>8.4910999999999994</v>
      </c>
      <c r="F80" s="2122"/>
      <c r="G80" s="2122"/>
      <c r="H80" s="2123"/>
      <c r="I80" s="769"/>
      <c r="J80" s="769"/>
    </row>
    <row r="81" spans="1:10" ht="17" customHeight="1">
      <c r="A81" s="2127">
        <v>43739</v>
      </c>
      <c r="B81" s="2128"/>
      <c r="C81" s="2128"/>
      <c r="D81" s="2129"/>
      <c r="E81" s="2130">
        <v>9.4007000000000005</v>
      </c>
      <c r="F81" s="2131"/>
      <c r="G81" s="2131"/>
      <c r="H81" s="2132"/>
      <c r="I81" s="769"/>
      <c r="J81" s="769"/>
    </row>
    <row r="82" spans="1:10" ht="17" customHeight="1">
      <c r="A82" s="2108">
        <v>43922</v>
      </c>
      <c r="B82" s="2109"/>
      <c r="C82" s="2109"/>
      <c r="D82" s="2110"/>
      <c r="E82" s="2121">
        <v>10.323600000000001</v>
      </c>
      <c r="F82" s="2122"/>
      <c r="G82" s="2122"/>
      <c r="H82" s="2123"/>
      <c r="I82" s="769"/>
      <c r="J82" s="769"/>
    </row>
    <row r="83" spans="1:10" ht="17" customHeight="1">
      <c r="A83" s="2133">
        <v>44228</v>
      </c>
      <c r="B83" s="2133"/>
      <c r="C83" s="2133"/>
      <c r="D83" s="2133"/>
      <c r="E83" s="2134">
        <v>10.2211</v>
      </c>
      <c r="F83" s="2135"/>
      <c r="G83" s="2135"/>
      <c r="H83" s="2135"/>
      <c r="I83" s="769"/>
      <c r="J83" s="769"/>
    </row>
    <row r="84" spans="1:10" ht="17" customHeight="1">
      <c r="A84" s="2133">
        <v>44287</v>
      </c>
      <c r="B84" s="2133"/>
      <c r="C84" s="2133"/>
      <c r="D84" s="2133"/>
      <c r="E84" s="2134">
        <v>11.1029</v>
      </c>
      <c r="F84" s="2135"/>
      <c r="G84" s="2135"/>
      <c r="H84" s="2135"/>
      <c r="I84" s="769"/>
      <c r="J84" s="769"/>
    </row>
    <row r="85" spans="1:10" ht="17" customHeight="1">
      <c r="A85" s="2133">
        <v>44470</v>
      </c>
      <c r="B85" s="2133"/>
      <c r="C85" s="2133"/>
      <c r="D85" s="2133"/>
      <c r="E85" s="2143">
        <v>11.4336</v>
      </c>
      <c r="F85" s="2144"/>
      <c r="G85" s="2144"/>
      <c r="H85" s="2145"/>
      <c r="I85" s="769"/>
      <c r="J85" s="769"/>
    </row>
    <row r="86" spans="1:10" ht="17" customHeight="1" thickBot="1">
      <c r="A86" s="2142">
        <v>44652</v>
      </c>
      <c r="B86" s="2142"/>
      <c r="C86" s="2142"/>
      <c r="D86" s="2142"/>
      <c r="E86" s="2118">
        <v>13.410399999999999</v>
      </c>
      <c r="F86" s="2119"/>
      <c r="G86" s="2119"/>
      <c r="H86" s="2120"/>
      <c r="I86" s="770"/>
      <c r="J86" s="770"/>
    </row>
    <row r="87" spans="1:10" ht="25.5" customHeight="1" thickBot="1">
      <c r="A87" s="761"/>
      <c r="B87" s="761"/>
      <c r="C87" s="761"/>
      <c r="D87" s="761"/>
      <c r="E87" s="761"/>
      <c r="F87" s="761"/>
      <c r="G87" s="761"/>
      <c r="H87" s="761"/>
      <c r="I87" s="770"/>
      <c r="J87" s="770"/>
    </row>
    <row r="88" spans="1:10" ht="19" thickBot="1">
      <c r="A88" s="2136" t="s">
        <v>74</v>
      </c>
      <c r="B88" s="2137"/>
      <c r="C88" s="2137"/>
      <c r="D88" s="2137"/>
      <c r="E88" s="2137"/>
      <c r="F88" s="2137"/>
      <c r="G88" s="2137"/>
      <c r="H88" s="2138"/>
      <c r="I88" s="772"/>
      <c r="J88" s="772"/>
    </row>
    <row r="89" spans="1:10" ht="16" thickBot="1">
      <c r="A89" s="2082" t="s">
        <v>75</v>
      </c>
      <c r="B89" s="2083"/>
      <c r="C89" s="2083"/>
      <c r="D89" s="2083"/>
      <c r="E89" s="2083"/>
      <c r="F89" s="2083"/>
      <c r="G89" s="2083"/>
      <c r="H89" s="2084"/>
      <c r="I89" s="769"/>
      <c r="J89" s="769"/>
    </row>
    <row r="90" spans="1:10">
      <c r="A90" s="2088" t="s">
        <v>241</v>
      </c>
      <c r="B90" s="2089"/>
      <c r="C90" s="2089"/>
      <c r="D90" s="2089"/>
      <c r="E90" s="2089"/>
      <c r="F90" s="2089"/>
      <c r="G90" s="2089"/>
      <c r="H90" s="2090"/>
      <c r="I90" s="773"/>
      <c r="J90" s="773"/>
    </row>
    <row r="91" spans="1:10">
      <c r="A91" s="2091"/>
      <c r="B91" s="2092"/>
      <c r="C91" s="2092"/>
      <c r="D91" s="2092"/>
      <c r="E91" s="2092"/>
      <c r="F91" s="2092"/>
      <c r="G91" s="2092"/>
      <c r="H91" s="2093"/>
      <c r="I91" s="772"/>
      <c r="J91" s="772"/>
    </row>
    <row r="92" spans="1:10">
      <c r="A92" s="2091"/>
      <c r="B92" s="2092"/>
      <c r="C92" s="2092"/>
      <c r="D92" s="2092"/>
      <c r="E92" s="2092"/>
      <c r="F92" s="2092"/>
      <c r="G92" s="2092"/>
      <c r="H92" s="2093"/>
      <c r="I92" s="769"/>
      <c r="J92" s="769"/>
    </row>
    <row r="93" spans="1:10" ht="31.5" customHeight="1">
      <c r="A93" s="2091"/>
      <c r="B93" s="2092"/>
      <c r="C93" s="2092"/>
      <c r="D93" s="2092"/>
      <c r="E93" s="2092"/>
      <c r="F93" s="2092"/>
      <c r="G93" s="2092"/>
      <c r="H93" s="2093"/>
      <c r="I93" s="774"/>
      <c r="J93" s="773"/>
    </row>
    <row r="94" spans="1:10" ht="6" customHeight="1" thickBot="1">
      <c r="A94" s="2094"/>
      <c r="B94" s="2095"/>
      <c r="C94" s="2095"/>
      <c r="D94" s="2095"/>
      <c r="E94" s="2095"/>
      <c r="F94" s="2095"/>
      <c r="G94" s="2095"/>
      <c r="H94" s="2096"/>
      <c r="I94" s="775"/>
      <c r="J94" s="775"/>
    </row>
    <row r="95" spans="1:10" ht="16" thickBot="1">
      <c r="A95" s="764"/>
      <c r="B95" s="764"/>
      <c r="C95" s="764"/>
      <c r="D95" s="764"/>
      <c r="E95" s="764"/>
      <c r="F95" s="764"/>
      <c r="G95" s="764"/>
      <c r="H95" s="764"/>
      <c r="I95" s="769"/>
      <c r="J95" s="769"/>
    </row>
    <row r="96" spans="1:10" ht="20" customHeight="1" thickBot="1">
      <c r="A96" s="2082" t="s">
        <v>76</v>
      </c>
      <c r="B96" s="2083"/>
      <c r="C96" s="2083"/>
      <c r="D96" s="2083"/>
      <c r="E96" s="2083"/>
      <c r="F96" s="2083"/>
      <c r="G96" s="2083"/>
      <c r="H96" s="2084"/>
      <c r="I96" s="770"/>
      <c r="J96" s="770"/>
    </row>
    <row r="97" spans="1:10">
      <c r="A97" s="2088" t="s">
        <v>137</v>
      </c>
      <c r="B97" s="2089"/>
      <c r="C97" s="2089"/>
      <c r="D97" s="2089"/>
      <c r="E97" s="2089"/>
      <c r="F97" s="2089"/>
      <c r="G97" s="2089"/>
      <c r="H97" s="2090"/>
      <c r="I97" s="770"/>
      <c r="J97" s="770"/>
    </row>
    <row r="98" spans="1:10" ht="22" customHeight="1" thickBot="1">
      <c r="A98" s="2094"/>
      <c r="B98" s="2095"/>
      <c r="C98" s="2095"/>
      <c r="D98" s="2095"/>
      <c r="E98" s="2095"/>
      <c r="F98" s="2095"/>
      <c r="G98" s="2095"/>
      <c r="H98" s="2096"/>
      <c r="I98" s="770"/>
      <c r="J98" s="770"/>
    </row>
    <row r="99" spans="1:10" ht="16" thickBot="1">
      <c r="A99" s="765"/>
      <c r="B99" s="765"/>
      <c r="C99" s="765"/>
      <c r="D99" s="765"/>
      <c r="E99" s="765"/>
      <c r="F99" s="765"/>
      <c r="G99" s="765"/>
      <c r="H99" s="765"/>
    </row>
    <row r="100" spans="1:10" ht="16" thickBot="1">
      <c r="A100" s="2082" t="s">
        <v>77</v>
      </c>
      <c r="B100" s="2083"/>
      <c r="C100" s="2083"/>
      <c r="D100" s="2083"/>
      <c r="E100" s="2083"/>
      <c r="F100" s="2083"/>
      <c r="G100" s="2083"/>
      <c r="H100" s="2084"/>
    </row>
    <row r="101" spans="1:10" ht="16" thickBot="1">
      <c r="A101" s="284" t="s">
        <v>80</v>
      </c>
      <c r="B101" s="283"/>
      <c r="C101" s="283"/>
      <c r="D101" s="283"/>
      <c r="E101" s="283"/>
      <c r="F101" s="283"/>
      <c r="G101" s="283"/>
      <c r="H101" s="285"/>
    </row>
    <row r="102" spans="1:10" ht="16" thickBot="1">
      <c r="A102" s="765"/>
      <c r="B102" s="765"/>
      <c r="C102" s="765"/>
      <c r="D102" s="765"/>
      <c r="E102" s="765"/>
      <c r="F102" s="765"/>
      <c r="G102" s="765"/>
      <c r="H102" s="765"/>
    </row>
    <row r="103" spans="1:10" ht="16" thickBot="1">
      <c r="A103" s="2082" t="s">
        <v>78</v>
      </c>
      <c r="B103" s="2083"/>
      <c r="C103" s="2083"/>
      <c r="D103" s="2083"/>
      <c r="E103" s="2083"/>
      <c r="F103" s="2083"/>
      <c r="G103" s="2083"/>
      <c r="H103" s="2084"/>
    </row>
    <row r="104" spans="1:10" ht="16" thickBot="1">
      <c r="A104" s="2085" t="s">
        <v>81</v>
      </c>
      <c r="B104" s="2086"/>
      <c r="C104" s="2086"/>
      <c r="D104" s="2086"/>
      <c r="E104" s="2086"/>
      <c r="F104" s="2086"/>
      <c r="G104" s="2086"/>
      <c r="H104" s="2087"/>
    </row>
    <row r="105" spans="1:10" ht="16" thickBot="1"/>
    <row r="106" spans="1:10" ht="16" thickBot="1">
      <c r="A106" s="2082" t="s">
        <v>79</v>
      </c>
      <c r="B106" s="2083"/>
      <c r="C106" s="2083"/>
      <c r="D106" s="2083"/>
      <c r="E106" s="2083"/>
      <c r="F106" s="2083"/>
      <c r="G106" s="2083"/>
      <c r="H106" s="2084"/>
    </row>
    <row r="107" spans="1:10">
      <c r="A107" s="2088" t="s">
        <v>347</v>
      </c>
      <c r="B107" s="2089"/>
      <c r="C107" s="2089"/>
      <c r="D107" s="2089"/>
      <c r="E107" s="2089"/>
      <c r="F107" s="2089"/>
      <c r="G107" s="2089"/>
      <c r="H107" s="2090"/>
    </row>
    <row r="108" spans="1:10">
      <c r="A108" s="2091"/>
      <c r="B108" s="2092"/>
      <c r="C108" s="2092"/>
      <c r="D108" s="2092"/>
      <c r="E108" s="2092"/>
      <c r="F108" s="2092"/>
      <c r="G108" s="2092"/>
      <c r="H108" s="2093"/>
    </row>
    <row r="109" spans="1:10" ht="16" thickBot="1">
      <c r="A109" s="2094"/>
      <c r="B109" s="2095"/>
      <c r="C109" s="2095"/>
      <c r="D109" s="2095"/>
      <c r="E109" s="2095"/>
      <c r="F109" s="2095"/>
      <c r="G109" s="2095"/>
      <c r="H109" s="2096"/>
    </row>
  </sheetData>
  <sheetProtection sheet="1" objects="1" scenarios="1"/>
  <mergeCells count="132">
    <mergeCell ref="A64:E64"/>
    <mergeCell ref="A65:E65"/>
    <mergeCell ref="A55:H55"/>
    <mergeCell ref="A56:H56"/>
    <mergeCell ref="A60:E61"/>
    <mergeCell ref="F60:F61"/>
    <mergeCell ref="G60:G61"/>
    <mergeCell ref="H60:H61"/>
    <mergeCell ref="A62:E62"/>
    <mergeCell ref="A63:E63"/>
    <mergeCell ref="A59:E59"/>
    <mergeCell ref="A100:H100"/>
    <mergeCell ref="A90:H94"/>
    <mergeCell ref="A88:H88"/>
    <mergeCell ref="A89:H89"/>
    <mergeCell ref="A96:H96"/>
    <mergeCell ref="A97:H98"/>
    <mergeCell ref="A78:D78"/>
    <mergeCell ref="E78:H78"/>
    <mergeCell ref="A72:D72"/>
    <mergeCell ref="A73:D73"/>
    <mergeCell ref="A74:D74"/>
    <mergeCell ref="A86:D86"/>
    <mergeCell ref="A79:D79"/>
    <mergeCell ref="E79:H79"/>
    <mergeCell ref="A80:D80"/>
    <mergeCell ref="E80:H80"/>
    <mergeCell ref="A82:D82"/>
    <mergeCell ref="E82:H82"/>
    <mergeCell ref="A85:D85"/>
    <mergeCell ref="E85:H85"/>
    <mergeCell ref="E69:H69"/>
    <mergeCell ref="E86:H86"/>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103:H103"/>
    <mergeCell ref="A106:H106"/>
    <mergeCell ref="A104:H104"/>
    <mergeCell ref="A107:H109"/>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69" t="str">
        <f>"Månedslønninger pr. "&amp;'Løntabel gældende fra'!D1&amp;" statens takster"</f>
        <v>Månedslønninger pr. 01/04/2022 statens takster</v>
      </c>
      <c r="B1" s="2170"/>
      <c r="C1" s="2170"/>
      <c r="D1" s="2170"/>
      <c r="E1" s="2170"/>
      <c r="F1" s="2170"/>
      <c r="G1" s="2170"/>
      <c r="H1" s="2170"/>
      <c r="I1" s="2170"/>
      <c r="J1" s="2170"/>
      <c r="K1" s="2170"/>
      <c r="L1" s="2170"/>
      <c r="M1" s="2170"/>
      <c r="N1" s="2170"/>
      <c r="O1" s="2171"/>
    </row>
    <row r="2" spans="1:15" ht="18" customHeight="1">
      <c r="A2" s="2172" t="s">
        <v>344</v>
      </c>
      <c r="B2" s="2173"/>
      <c r="C2" s="2173"/>
      <c r="D2" s="2173"/>
      <c r="E2" s="2173"/>
      <c r="F2" s="2173"/>
      <c r="G2" s="2173"/>
      <c r="H2" s="2173"/>
      <c r="I2" s="2173"/>
      <c r="J2" s="2173"/>
      <c r="K2" s="2173"/>
      <c r="L2" s="2173"/>
      <c r="M2" s="2173"/>
      <c r="N2" s="2173"/>
      <c r="O2" s="2174"/>
    </row>
    <row r="3" spans="1:15" ht="18" customHeight="1">
      <c r="A3" s="2175" t="s">
        <v>345</v>
      </c>
      <c r="B3" s="2176"/>
      <c r="C3" s="2176"/>
      <c r="D3" s="2176"/>
      <c r="E3" s="2176"/>
      <c r="F3" s="2176"/>
      <c r="G3" s="2176"/>
      <c r="H3" s="2176"/>
      <c r="I3" s="2176"/>
      <c r="J3" s="2176"/>
      <c r="K3" s="2176"/>
      <c r="L3" s="2176"/>
      <c r="M3" s="2176"/>
      <c r="N3" s="2176"/>
      <c r="O3" s="2177"/>
    </row>
    <row r="4" spans="1:15" ht="33.75" customHeight="1" thickBot="1">
      <c r="A4" s="2178"/>
      <c r="B4" s="2179"/>
      <c r="C4" s="2179"/>
      <c r="D4" s="2179"/>
      <c r="E4" s="2179"/>
      <c r="F4" s="2179"/>
      <c r="G4" s="2179"/>
      <c r="H4" s="2179"/>
      <c r="I4" s="2179"/>
      <c r="J4" s="2179"/>
      <c r="K4" s="2179"/>
      <c r="L4" s="2179"/>
      <c r="M4" s="2179"/>
      <c r="N4" s="2179"/>
      <c r="O4" s="2180"/>
    </row>
    <row r="5" spans="1:15" s="33" customFormat="1" ht="26" customHeight="1" thickBot="1">
      <c r="A5" s="364" t="s">
        <v>57</v>
      </c>
      <c r="B5" s="391"/>
      <c r="C5" s="393" t="s">
        <v>108</v>
      </c>
      <c r="D5" s="364" t="s">
        <v>52</v>
      </c>
      <c r="E5" s="391" t="s">
        <v>109</v>
      </c>
      <c r="F5" s="392" t="s">
        <v>53</v>
      </c>
      <c r="G5" s="393" t="s">
        <v>110</v>
      </c>
      <c r="H5" s="364" t="s">
        <v>54</v>
      </c>
      <c r="I5" s="391" t="s">
        <v>111</v>
      </c>
      <c r="J5" s="392" t="s">
        <v>55</v>
      </c>
      <c r="K5" s="393" t="s">
        <v>112</v>
      </c>
      <c r="L5" s="364" t="s">
        <v>56</v>
      </c>
      <c r="M5" s="394"/>
      <c r="N5" s="395" t="s">
        <v>113</v>
      </c>
      <c r="O5" s="396" t="s">
        <v>114</v>
      </c>
    </row>
    <row r="6" spans="1:15" ht="20" customHeight="1">
      <c r="A6" s="2167">
        <v>1</v>
      </c>
      <c r="B6" s="378" t="s">
        <v>96</v>
      </c>
      <c r="C6" s="202">
        <v>184817</v>
      </c>
      <c r="D6" s="195">
        <f>ROUND((C6*(1+'Løntabel gældende fra'!$D$7%)),0)</f>
        <v>209602</v>
      </c>
      <c r="E6" s="203">
        <v>188265</v>
      </c>
      <c r="F6" s="204">
        <f>ROUND((E6*(1+'Løntabel gældende fra'!$D$7%)),0)</f>
        <v>213512</v>
      </c>
      <c r="G6" s="202">
        <v>190650</v>
      </c>
      <c r="H6" s="195">
        <f>ROUND((G6*(1+'Løntabel gældende fra'!$D$7%)),0)</f>
        <v>216217</v>
      </c>
      <c r="I6" s="203">
        <v>194098</v>
      </c>
      <c r="J6" s="204">
        <f>ROUND((I6*(1+'Løntabel gældende fra'!$D$7%)),0)</f>
        <v>220127</v>
      </c>
      <c r="K6" s="202">
        <v>196484</v>
      </c>
      <c r="L6" s="195">
        <f>ROUND((K6*(1+'Løntabel gældende fra'!$D$7%)),0)</f>
        <v>222833</v>
      </c>
      <c r="M6" s="419"/>
      <c r="N6" s="399">
        <v>171917.38</v>
      </c>
      <c r="O6" s="209">
        <f>ROUND(N6*(1+'Løntabel gældende fra'!$D$7%),2)</f>
        <v>194972.19</v>
      </c>
    </row>
    <row r="7" spans="1:15">
      <c r="A7" s="2165"/>
      <c r="B7" s="403" t="s">
        <v>97</v>
      </c>
      <c r="C7" s="408">
        <f>C6/12</f>
        <v>15401.416666666666</v>
      </c>
      <c r="D7" s="415">
        <f t="shared" ref="D7:L7" si="0">ROUND(D6/12,2)</f>
        <v>17466.830000000002</v>
      </c>
      <c r="E7" s="412">
        <f>E6/12</f>
        <v>15688.75</v>
      </c>
      <c r="F7" s="397">
        <f t="shared" si="0"/>
        <v>17792.669999999998</v>
      </c>
      <c r="G7" s="408">
        <f>G6/12</f>
        <v>15887.5</v>
      </c>
      <c r="H7" s="415">
        <f t="shared" si="0"/>
        <v>18018.080000000002</v>
      </c>
      <c r="I7" s="412">
        <f>I6/12</f>
        <v>16174.833333333334</v>
      </c>
      <c r="J7" s="397">
        <f t="shared" si="0"/>
        <v>18343.919999999998</v>
      </c>
      <c r="K7" s="408">
        <f>K6/12</f>
        <v>16373.666666666666</v>
      </c>
      <c r="L7" s="415">
        <f t="shared" si="0"/>
        <v>18569.419999999998</v>
      </c>
      <c r="M7" s="420"/>
      <c r="N7" s="398"/>
      <c r="O7" s="400">
        <f>ROUND(O6/12,2)</f>
        <v>16247.68</v>
      </c>
    </row>
    <row r="8" spans="1:15" ht="16" thickBot="1">
      <c r="A8" s="2166"/>
      <c r="B8" s="380" t="s">
        <v>226</v>
      </c>
      <c r="C8" s="199"/>
      <c r="D8" s="200">
        <f>ROUND(D7/160.33,2)</f>
        <v>108.94</v>
      </c>
      <c r="E8" s="201"/>
      <c r="F8" s="200">
        <f t="shared" ref="F8:O8" si="1">ROUND(F7/160.33,2)</f>
        <v>110.98</v>
      </c>
      <c r="G8" s="200">
        <f t="shared" si="1"/>
        <v>99.09</v>
      </c>
      <c r="H8" s="200">
        <f t="shared" si="1"/>
        <v>112.38</v>
      </c>
      <c r="I8" s="200">
        <f t="shared" si="1"/>
        <v>100.88</v>
      </c>
      <c r="J8" s="200">
        <f t="shared" si="1"/>
        <v>114.41</v>
      </c>
      <c r="K8" s="200">
        <f t="shared" si="1"/>
        <v>102.12</v>
      </c>
      <c r="L8" s="200">
        <f t="shared" si="1"/>
        <v>115.82</v>
      </c>
      <c r="M8" s="200">
        <f t="shared" si="1"/>
        <v>0</v>
      </c>
      <c r="N8" s="200">
        <f t="shared" si="1"/>
        <v>0</v>
      </c>
      <c r="O8" s="200">
        <f t="shared" si="1"/>
        <v>101.34</v>
      </c>
    </row>
    <row r="9" spans="1:15">
      <c r="A9" s="2167">
        <v>2</v>
      </c>
      <c r="B9" s="378" t="s">
        <v>96</v>
      </c>
      <c r="C9" s="202">
        <v>187655</v>
      </c>
      <c r="D9" s="195">
        <f>ROUND((C9*(1+'Løntabel gældende fra'!$D$7%)),0)</f>
        <v>212820</v>
      </c>
      <c r="E9" s="203">
        <v>191187</v>
      </c>
      <c r="F9" s="204">
        <f>ROUND((E9*(1+'Løntabel gældende fra'!$D$7%)),0)</f>
        <v>216826</v>
      </c>
      <c r="G9" s="202">
        <v>193632</v>
      </c>
      <c r="H9" s="195">
        <f>ROUND((G9*(1+'Løntabel gældende fra'!$D$7%)),0)</f>
        <v>219599</v>
      </c>
      <c r="I9" s="203">
        <v>197161</v>
      </c>
      <c r="J9" s="204">
        <f>ROUND((I9*(1+'Løntabel gældende fra'!$D$7%)),0)</f>
        <v>223601</v>
      </c>
      <c r="K9" s="202">
        <v>199607</v>
      </c>
      <c r="L9" s="195">
        <f>ROUND((K9*(1+'Løntabel gældende fra'!$D$7%)),0)</f>
        <v>226375</v>
      </c>
      <c r="M9" s="421"/>
      <c r="N9" s="399">
        <v>174577.34</v>
      </c>
      <c r="O9" s="209">
        <f>ROUND(N9*(1+'Løntabel gældende fra'!$D$7%),2)</f>
        <v>197988.86</v>
      </c>
    </row>
    <row r="10" spans="1:15">
      <c r="A10" s="2165"/>
      <c r="B10" s="403" t="s">
        <v>97</v>
      </c>
      <c r="C10" s="408"/>
      <c r="D10" s="415">
        <f>ROUND(D9/12,2)</f>
        <v>17735</v>
      </c>
      <c r="E10" s="412"/>
      <c r="F10" s="397">
        <f>ROUND(F9/12,2)</f>
        <v>18068.830000000002</v>
      </c>
      <c r="G10" s="408">
        <f>G9/12</f>
        <v>16136</v>
      </c>
      <c r="H10" s="415">
        <f>ROUND(H9/12,2)</f>
        <v>18299.919999999998</v>
      </c>
      <c r="I10" s="412">
        <f>I9/12</f>
        <v>16430.083333333332</v>
      </c>
      <c r="J10" s="397">
        <f>ROUND(J9/12,2)</f>
        <v>18633.419999999998</v>
      </c>
      <c r="K10" s="408">
        <f>K9/12</f>
        <v>16633.916666666668</v>
      </c>
      <c r="L10" s="415">
        <f>ROUND(L9/12,2)</f>
        <v>18864.580000000002</v>
      </c>
      <c r="M10" s="420"/>
      <c r="N10" s="398"/>
      <c r="O10" s="400">
        <f>ROUND(O9/12,2)</f>
        <v>16499.07</v>
      </c>
    </row>
    <row r="11" spans="1:15" ht="16" thickBot="1">
      <c r="A11" s="2166"/>
      <c r="B11" s="380" t="s">
        <v>226</v>
      </c>
      <c r="C11" s="199">
        <f>C9/12</f>
        <v>15637.916666666666</v>
      </c>
      <c r="D11" s="200">
        <f>ROUND(D10/160.33,2)</f>
        <v>110.62</v>
      </c>
      <c r="E11" s="201">
        <f>E9/12</f>
        <v>15932.25</v>
      </c>
      <c r="F11" s="200">
        <f t="shared" ref="F11:O11" si="2">ROUND(F10/160.33,2)</f>
        <v>112.7</v>
      </c>
      <c r="G11" s="200">
        <f t="shared" si="2"/>
        <v>100.64</v>
      </c>
      <c r="H11" s="200">
        <f t="shared" si="2"/>
        <v>114.14</v>
      </c>
      <c r="I11" s="200">
        <f t="shared" si="2"/>
        <v>102.48</v>
      </c>
      <c r="J11" s="200">
        <f t="shared" si="2"/>
        <v>116.22</v>
      </c>
      <c r="K11" s="200">
        <f t="shared" si="2"/>
        <v>103.75</v>
      </c>
      <c r="L11" s="200">
        <f t="shared" si="2"/>
        <v>117.66</v>
      </c>
      <c r="M11" s="200">
        <f t="shared" si="2"/>
        <v>0</v>
      </c>
      <c r="N11" s="200">
        <f t="shared" si="2"/>
        <v>0</v>
      </c>
      <c r="O11" s="200">
        <f t="shared" si="2"/>
        <v>102.91</v>
      </c>
    </row>
    <row r="12" spans="1:15">
      <c r="A12" s="2167">
        <v>3</v>
      </c>
      <c r="B12" s="378" t="s">
        <v>96</v>
      </c>
      <c r="C12" s="202">
        <v>190571</v>
      </c>
      <c r="D12" s="195">
        <f>ROUND((C12*(1+'Løntabel gældende fra'!$D$7%)),0)</f>
        <v>216127</v>
      </c>
      <c r="E12" s="203">
        <v>194187</v>
      </c>
      <c r="F12" s="204">
        <f>ROUND((E12*(1+'Løntabel gældende fra'!$D$7%)),0)</f>
        <v>220228</v>
      </c>
      <c r="G12" s="202">
        <v>196692</v>
      </c>
      <c r="H12" s="195">
        <f>ROUND((G12*(1+'Løntabel gældende fra'!$D$7%)),0)</f>
        <v>223069</v>
      </c>
      <c r="I12" s="203">
        <v>200308</v>
      </c>
      <c r="J12" s="204">
        <f>ROUND((I12*(1+'Løntabel gældende fra'!$D$7%)),0)</f>
        <v>227170</v>
      </c>
      <c r="K12" s="202">
        <v>202814</v>
      </c>
      <c r="L12" s="195">
        <f>ROUND((K12*(1+'Løntabel gældende fra'!$D$7%)),0)</f>
        <v>230012</v>
      </c>
      <c r="M12" s="421"/>
      <c r="N12" s="399">
        <v>177309.48</v>
      </c>
      <c r="O12" s="209">
        <f>ROUND(N12*(1+'Løntabel gældende fra'!$D$7%),2)</f>
        <v>201087.39</v>
      </c>
    </row>
    <row r="13" spans="1:15">
      <c r="A13" s="2165"/>
      <c r="B13" s="403" t="s">
        <v>97</v>
      </c>
      <c r="C13" s="408">
        <f>C12/12</f>
        <v>15880.916666666666</v>
      </c>
      <c r="D13" s="415">
        <f>ROUND(D12/12,2)</f>
        <v>18010.580000000002</v>
      </c>
      <c r="E13" s="412">
        <f>E12/12</f>
        <v>16182.25</v>
      </c>
      <c r="F13" s="397">
        <f>ROUND(F12/12,2)</f>
        <v>18352.330000000002</v>
      </c>
      <c r="G13" s="408">
        <f>G12/12</f>
        <v>16391</v>
      </c>
      <c r="H13" s="415">
        <f>ROUND(H12/12,2)</f>
        <v>18589.080000000002</v>
      </c>
      <c r="I13" s="412">
        <f>I12/12</f>
        <v>16692.333333333332</v>
      </c>
      <c r="J13" s="397">
        <f>ROUND(J12/12,2)</f>
        <v>18930.830000000002</v>
      </c>
      <c r="K13" s="408">
        <f>K12/12</f>
        <v>16901.166666666668</v>
      </c>
      <c r="L13" s="415">
        <f>ROUND(L12/12,2)</f>
        <v>19167.669999999998</v>
      </c>
      <c r="M13" s="420"/>
      <c r="N13" s="398"/>
      <c r="O13" s="400">
        <f>ROUND(O12/12,2)</f>
        <v>16757.28</v>
      </c>
    </row>
    <row r="14" spans="1:15" ht="16" thickBot="1">
      <c r="A14" s="2166"/>
      <c r="B14" s="380" t="s">
        <v>226</v>
      </c>
      <c r="C14" s="409"/>
      <c r="D14" s="200">
        <f>ROUND(D13/160.33,2)</f>
        <v>112.33</v>
      </c>
      <c r="E14" s="413"/>
      <c r="F14" s="200">
        <f t="shared" ref="F14:O14" si="3">ROUND(F13/160.33,2)</f>
        <v>114.47</v>
      </c>
      <c r="G14" s="200">
        <f t="shared" si="3"/>
        <v>102.23</v>
      </c>
      <c r="H14" s="200">
        <f t="shared" si="3"/>
        <v>115.94</v>
      </c>
      <c r="I14" s="200">
        <f t="shared" si="3"/>
        <v>104.11</v>
      </c>
      <c r="J14" s="200">
        <f t="shared" si="3"/>
        <v>118.07</v>
      </c>
      <c r="K14" s="200">
        <f t="shared" si="3"/>
        <v>105.41</v>
      </c>
      <c r="L14" s="200">
        <f t="shared" si="3"/>
        <v>119.55</v>
      </c>
      <c r="M14" s="200">
        <f t="shared" si="3"/>
        <v>0</v>
      </c>
      <c r="N14" s="200">
        <f t="shared" si="3"/>
        <v>0</v>
      </c>
      <c r="O14" s="200">
        <f t="shared" si="3"/>
        <v>104.52</v>
      </c>
    </row>
    <row r="15" spans="1:15">
      <c r="A15" s="2167">
        <v>4</v>
      </c>
      <c r="B15" s="378" t="s">
        <v>96</v>
      </c>
      <c r="C15" s="202">
        <v>193567</v>
      </c>
      <c r="D15" s="195">
        <f>ROUND((C15*(1+'Løntabel gældende fra'!$D$7%)),0)</f>
        <v>219525</v>
      </c>
      <c r="E15" s="203">
        <v>197274</v>
      </c>
      <c r="F15" s="204">
        <f>ROUND((E15*(1+'Løntabel gældende fra'!$D$7%)),0)</f>
        <v>223729</v>
      </c>
      <c r="G15" s="202">
        <v>199840</v>
      </c>
      <c r="H15" s="195">
        <f>ROUND((G15*(1+'Løntabel gældende fra'!$D$7%)),0)</f>
        <v>226639</v>
      </c>
      <c r="I15" s="203">
        <v>203545</v>
      </c>
      <c r="J15" s="204">
        <f>ROUND((I15*(1+'Løntabel gældende fra'!$D$7%)),0)</f>
        <v>230841</v>
      </c>
      <c r="K15" s="202">
        <v>206110</v>
      </c>
      <c r="L15" s="195">
        <f>ROUND((K15*(1+'Løntabel gældende fra'!$D$7%)),0)</f>
        <v>233750</v>
      </c>
      <c r="M15" s="421"/>
      <c r="N15" s="399">
        <v>180117.41</v>
      </c>
      <c r="O15" s="209">
        <f>ROUND(N15*(1+'Løntabel gældende fra'!$D$7%),2)</f>
        <v>204271.88</v>
      </c>
    </row>
    <row r="16" spans="1:15">
      <c r="A16" s="2165"/>
      <c r="B16" s="403" t="s">
        <v>97</v>
      </c>
      <c r="C16" s="408">
        <f>C15/12</f>
        <v>16130.583333333334</v>
      </c>
      <c r="D16" s="415">
        <f>ROUND(D15/12,2)</f>
        <v>18293.75</v>
      </c>
      <c r="E16" s="412">
        <f>E15/12</f>
        <v>16439.5</v>
      </c>
      <c r="F16" s="397">
        <f>ROUND(F15/12,2)</f>
        <v>18644.080000000002</v>
      </c>
      <c r="G16" s="408">
        <f>G15/12</f>
        <v>16653.333333333332</v>
      </c>
      <c r="H16" s="415">
        <f>ROUND(H15/12,2)</f>
        <v>18886.580000000002</v>
      </c>
      <c r="I16" s="412">
        <f>I15/12</f>
        <v>16962.083333333332</v>
      </c>
      <c r="J16" s="397">
        <f>ROUND(J15/12,2)</f>
        <v>19236.75</v>
      </c>
      <c r="K16" s="408">
        <f>K15/12</f>
        <v>17175.833333333332</v>
      </c>
      <c r="L16" s="415">
        <f>ROUND(L15/12,2)</f>
        <v>19479.169999999998</v>
      </c>
      <c r="M16" s="420"/>
      <c r="N16" s="398"/>
      <c r="O16" s="400">
        <f>ROUND(O15/12,2)</f>
        <v>17022.66</v>
      </c>
    </row>
    <row r="17" spans="1:15" ht="16" thickBot="1">
      <c r="A17" s="2166"/>
      <c r="B17" s="380" t="s">
        <v>226</v>
      </c>
      <c r="C17" s="409"/>
      <c r="D17" s="200">
        <f>ROUND(D16/160.33,2)</f>
        <v>114.1</v>
      </c>
      <c r="E17" s="413"/>
      <c r="F17" s="200">
        <f t="shared" ref="F17:O17" si="4">ROUND(F16/160.33,2)</f>
        <v>116.29</v>
      </c>
      <c r="G17" s="200">
        <f t="shared" si="4"/>
        <v>103.87</v>
      </c>
      <c r="H17" s="200">
        <f t="shared" si="4"/>
        <v>117.8</v>
      </c>
      <c r="I17" s="200">
        <f t="shared" si="4"/>
        <v>105.79</v>
      </c>
      <c r="J17" s="200">
        <f t="shared" si="4"/>
        <v>119.98</v>
      </c>
      <c r="K17" s="200">
        <f t="shared" si="4"/>
        <v>107.13</v>
      </c>
      <c r="L17" s="200">
        <f t="shared" si="4"/>
        <v>121.49</v>
      </c>
      <c r="M17" s="200">
        <f t="shared" si="4"/>
        <v>0</v>
      </c>
      <c r="N17" s="200">
        <f t="shared" si="4"/>
        <v>0</v>
      </c>
      <c r="O17" s="200">
        <f t="shared" si="4"/>
        <v>106.17</v>
      </c>
    </row>
    <row r="18" spans="1:15">
      <c r="A18" s="2167">
        <v>5</v>
      </c>
      <c r="B18" s="378" t="s">
        <v>96</v>
      </c>
      <c r="C18" s="202">
        <v>196645</v>
      </c>
      <c r="D18" s="195">
        <f>ROUND((C18*(1+'Løntabel gældende fra'!$D$7%)),0)</f>
        <v>223016</v>
      </c>
      <c r="E18" s="203">
        <v>200442</v>
      </c>
      <c r="F18" s="204">
        <f>ROUND((E18*(1+'Løntabel gældende fra'!$D$7%)),0)</f>
        <v>227322</v>
      </c>
      <c r="G18" s="202">
        <v>203072</v>
      </c>
      <c r="H18" s="195">
        <f>ROUND((G18*(1+'Løntabel gældende fra'!$D$7%)),0)</f>
        <v>230305</v>
      </c>
      <c r="I18" s="203">
        <v>206869</v>
      </c>
      <c r="J18" s="204">
        <f>ROUND((I18*(1+'Løntabel gældende fra'!$D$7%)),0)</f>
        <v>234611</v>
      </c>
      <c r="K18" s="202">
        <v>209497</v>
      </c>
      <c r="L18" s="195">
        <f>ROUND((K18*(1+'Løntabel gældende fra'!$D$7%)),0)</f>
        <v>237591</v>
      </c>
      <c r="M18" s="421"/>
      <c r="N18" s="399">
        <v>183001.14</v>
      </c>
      <c r="O18" s="209">
        <f>ROUND(N18*(1+'Løntabel gældende fra'!$D$7%),2)</f>
        <v>207542.32</v>
      </c>
    </row>
    <row r="19" spans="1:15">
      <c r="A19" s="2165"/>
      <c r="B19" s="403" t="s">
        <v>97</v>
      </c>
      <c r="C19" s="408">
        <f>C18/12</f>
        <v>16387.083333333332</v>
      </c>
      <c r="D19" s="415">
        <f>ROUND(D18/12,2)</f>
        <v>18584.669999999998</v>
      </c>
      <c r="E19" s="412">
        <f>E18/12</f>
        <v>16703.5</v>
      </c>
      <c r="F19" s="397">
        <f>ROUND(F18/12,2)</f>
        <v>18943.5</v>
      </c>
      <c r="G19" s="408">
        <f>G18/12</f>
        <v>16922.666666666668</v>
      </c>
      <c r="H19" s="415">
        <f>ROUND(H18/12,2)</f>
        <v>19192.080000000002</v>
      </c>
      <c r="I19" s="412">
        <f>I18/12</f>
        <v>17239.083333333332</v>
      </c>
      <c r="J19" s="397">
        <f>ROUND(J18/12,2)</f>
        <v>19550.919999999998</v>
      </c>
      <c r="K19" s="408">
        <f>K18/12</f>
        <v>17458.083333333332</v>
      </c>
      <c r="L19" s="415">
        <f>ROUND(L18/12,2)</f>
        <v>19799.25</v>
      </c>
      <c r="M19" s="420"/>
      <c r="N19" s="398"/>
      <c r="O19" s="400">
        <f>ROUND(O18/12,2)</f>
        <v>17295.189999999999</v>
      </c>
    </row>
    <row r="20" spans="1:15" ht="16" thickBot="1">
      <c r="A20" s="2166"/>
      <c r="B20" s="380" t="s">
        <v>226</v>
      </c>
      <c r="C20" s="409"/>
      <c r="D20" s="200">
        <f>ROUND(D19/160.33,2)</f>
        <v>115.92</v>
      </c>
      <c r="E20" s="413"/>
      <c r="F20" s="200">
        <f t="shared" ref="F20:O20" si="5">ROUND(F19/160.33,2)</f>
        <v>118.15</v>
      </c>
      <c r="G20" s="200">
        <f t="shared" si="5"/>
        <v>105.55</v>
      </c>
      <c r="H20" s="200">
        <f t="shared" si="5"/>
        <v>119.7</v>
      </c>
      <c r="I20" s="200">
        <f t="shared" si="5"/>
        <v>107.52</v>
      </c>
      <c r="J20" s="200">
        <f t="shared" si="5"/>
        <v>121.94</v>
      </c>
      <c r="K20" s="200">
        <f t="shared" si="5"/>
        <v>108.89</v>
      </c>
      <c r="L20" s="200">
        <f t="shared" si="5"/>
        <v>123.49</v>
      </c>
      <c r="M20" s="200">
        <f t="shared" si="5"/>
        <v>0</v>
      </c>
      <c r="N20" s="200">
        <f t="shared" si="5"/>
        <v>0</v>
      </c>
      <c r="O20" s="200">
        <f t="shared" si="5"/>
        <v>107.87</v>
      </c>
    </row>
    <row r="21" spans="1:15">
      <c r="A21" s="2164">
        <v>6</v>
      </c>
      <c r="B21" s="193" t="s">
        <v>96</v>
      </c>
      <c r="C21" s="194">
        <v>199810</v>
      </c>
      <c r="D21" s="198">
        <f>ROUND((C21*(1+'Løntabel gældende fra'!$D$7%)),0)</f>
        <v>226605</v>
      </c>
      <c r="E21" s="196">
        <v>203700</v>
      </c>
      <c r="F21" s="197">
        <f>ROUND((E21*(1+'Løntabel gældende fra'!$D$7%)),0)</f>
        <v>231017</v>
      </c>
      <c r="G21" s="194">
        <v>206395</v>
      </c>
      <c r="H21" s="198">
        <f>ROUND((G21*(1+'Løntabel gældende fra'!$D$7%)),0)</f>
        <v>234073</v>
      </c>
      <c r="I21" s="196">
        <v>210285</v>
      </c>
      <c r="J21" s="197">
        <f>ROUND((I21*(1+'Løntabel gældende fra'!$D$7%)),0)</f>
        <v>238485</v>
      </c>
      <c r="K21" s="194">
        <v>212978</v>
      </c>
      <c r="L21" s="198">
        <f>ROUND((K21*(1+'Løntabel gældende fra'!$D$7%)),0)</f>
        <v>241539</v>
      </c>
      <c r="M21" s="422"/>
      <c r="N21" s="401">
        <v>185966.06</v>
      </c>
      <c r="O21" s="402">
        <f>ROUND(N21*(1+'Løntabel gældende fra'!$D$7%),2)</f>
        <v>210904.85</v>
      </c>
    </row>
    <row r="22" spans="1:15">
      <c r="A22" s="2165"/>
      <c r="B22" s="403" t="s">
        <v>97</v>
      </c>
      <c r="C22" s="408">
        <f>C21/12</f>
        <v>16650.833333333332</v>
      </c>
      <c r="D22" s="415">
        <f>ROUND(D21/12,2)</f>
        <v>18883.75</v>
      </c>
      <c r="E22" s="412">
        <f>E21/12</f>
        <v>16975</v>
      </c>
      <c r="F22" s="397">
        <f>ROUND(F21/12,2)</f>
        <v>19251.419999999998</v>
      </c>
      <c r="G22" s="408">
        <f>G21/12</f>
        <v>17199.583333333332</v>
      </c>
      <c r="H22" s="415">
        <f>ROUND(H21/12,2)</f>
        <v>19506.080000000002</v>
      </c>
      <c r="I22" s="412">
        <f>I21/12</f>
        <v>17523.75</v>
      </c>
      <c r="J22" s="397">
        <f>ROUND(J21/12,2)</f>
        <v>19873.75</v>
      </c>
      <c r="K22" s="408">
        <f>K21/12</f>
        <v>17748.166666666668</v>
      </c>
      <c r="L22" s="415">
        <f>ROUND(L21/12,2)</f>
        <v>20128.25</v>
      </c>
      <c r="M22" s="420"/>
      <c r="N22" s="398"/>
      <c r="O22" s="400">
        <f>ROUND(O21/12,2)</f>
        <v>17575.400000000001</v>
      </c>
    </row>
    <row r="23" spans="1:15" ht="16" thickBot="1">
      <c r="A23" s="2168"/>
      <c r="B23" s="404" t="s">
        <v>226</v>
      </c>
      <c r="C23" s="410"/>
      <c r="D23" s="416">
        <f>ROUND(D22/160.33,2)</f>
        <v>117.78</v>
      </c>
      <c r="E23" s="414"/>
      <c r="F23" s="416">
        <f t="shared" ref="F23:O23" si="6">ROUND(F22/160.33,2)</f>
        <v>120.07</v>
      </c>
      <c r="G23" s="416">
        <f t="shared" si="6"/>
        <v>107.28</v>
      </c>
      <c r="H23" s="416">
        <f t="shared" si="6"/>
        <v>121.66</v>
      </c>
      <c r="I23" s="416">
        <f t="shared" si="6"/>
        <v>109.3</v>
      </c>
      <c r="J23" s="416">
        <f t="shared" si="6"/>
        <v>123.96</v>
      </c>
      <c r="K23" s="416">
        <f t="shared" si="6"/>
        <v>110.7</v>
      </c>
      <c r="L23" s="416">
        <f t="shared" si="6"/>
        <v>125.54</v>
      </c>
      <c r="M23" s="416">
        <f t="shared" si="6"/>
        <v>0</v>
      </c>
      <c r="N23" s="416">
        <f t="shared" si="6"/>
        <v>0</v>
      </c>
      <c r="O23" s="416">
        <f t="shared" si="6"/>
        <v>109.62</v>
      </c>
    </row>
    <row r="24" spans="1:15">
      <c r="A24" s="2167">
        <v>7</v>
      </c>
      <c r="B24" s="378" t="s">
        <v>96</v>
      </c>
      <c r="C24" s="202">
        <v>203058</v>
      </c>
      <c r="D24" s="195">
        <f>ROUND((C24*(1+'Løntabel gældende fra'!$D$7%)),0)</f>
        <v>230289</v>
      </c>
      <c r="E24" s="203">
        <v>207045</v>
      </c>
      <c r="F24" s="204">
        <f>ROUND((E24*(1+'Løntabel gældende fra'!$D$7%)),0)</f>
        <v>234811</v>
      </c>
      <c r="G24" s="202">
        <v>209805</v>
      </c>
      <c r="H24" s="195">
        <f>ROUND((G24*(1+'Løntabel gældende fra'!$D$7%)),0)</f>
        <v>237941</v>
      </c>
      <c r="I24" s="203">
        <v>213792</v>
      </c>
      <c r="J24" s="204">
        <f>ROUND((I24*(1+'Løntabel gældende fra'!$D$7%)),0)</f>
        <v>242462</v>
      </c>
      <c r="K24" s="202">
        <v>216551</v>
      </c>
      <c r="L24" s="195">
        <f>ROUND((K24*(1+'Løntabel gældende fra'!$D$7%)),0)</f>
        <v>245591</v>
      </c>
      <c r="M24" s="421"/>
      <c r="N24" s="399">
        <v>189010.4</v>
      </c>
      <c r="O24" s="209">
        <f>ROUND(N24*(1+'Løntabel gældende fra'!$D$7%),2)</f>
        <v>214357.45</v>
      </c>
    </row>
    <row r="25" spans="1:15">
      <c r="A25" s="2165"/>
      <c r="B25" s="403" t="s">
        <v>97</v>
      </c>
      <c r="C25" s="408"/>
      <c r="D25" s="415">
        <f>ROUND(D24/12,2)</f>
        <v>19190.75</v>
      </c>
      <c r="E25" s="412">
        <f>E24/12</f>
        <v>17253.75</v>
      </c>
      <c r="F25" s="397">
        <f>ROUND(F24/12,2)</f>
        <v>19567.580000000002</v>
      </c>
      <c r="G25" s="408">
        <f>G24/12</f>
        <v>17483.75</v>
      </c>
      <c r="H25" s="415">
        <f>ROUND(H24/12,2)</f>
        <v>19828.419999999998</v>
      </c>
      <c r="I25" s="412">
        <f>I24/12</f>
        <v>17816</v>
      </c>
      <c r="J25" s="397">
        <f>ROUND(J24/12,2)</f>
        <v>20205.169999999998</v>
      </c>
      <c r="K25" s="408">
        <f>K24/12</f>
        <v>18045.916666666668</v>
      </c>
      <c r="L25" s="415">
        <f>ROUND(L24/12,2)</f>
        <v>20465.919999999998</v>
      </c>
      <c r="M25" s="420"/>
      <c r="N25" s="398"/>
      <c r="O25" s="400">
        <f>ROUND(O24/12,2)</f>
        <v>17863.12</v>
      </c>
    </row>
    <row r="26" spans="1:15" ht="16" thickBot="1">
      <c r="A26" s="2166"/>
      <c r="B26" s="380" t="s">
        <v>226</v>
      </c>
      <c r="C26" s="199">
        <f>C24/12</f>
        <v>16921.5</v>
      </c>
      <c r="D26" s="200">
        <f>ROUND(D25/160.33,2)</f>
        <v>119.7</v>
      </c>
      <c r="E26" s="413"/>
      <c r="F26" s="200">
        <f t="shared" ref="F26:O26" si="7">ROUND(F25/160.33,2)</f>
        <v>122.05</v>
      </c>
      <c r="G26" s="200">
        <f t="shared" si="7"/>
        <v>109.05</v>
      </c>
      <c r="H26" s="200">
        <f t="shared" si="7"/>
        <v>123.67</v>
      </c>
      <c r="I26" s="200">
        <f t="shared" si="7"/>
        <v>111.12</v>
      </c>
      <c r="J26" s="200">
        <f t="shared" si="7"/>
        <v>126.02</v>
      </c>
      <c r="K26" s="200">
        <f t="shared" si="7"/>
        <v>112.55</v>
      </c>
      <c r="L26" s="200">
        <f t="shared" si="7"/>
        <v>127.65</v>
      </c>
      <c r="M26" s="200">
        <f t="shared" si="7"/>
        <v>0</v>
      </c>
      <c r="N26" s="200">
        <f t="shared" si="7"/>
        <v>0</v>
      </c>
      <c r="O26" s="200">
        <f t="shared" si="7"/>
        <v>111.41</v>
      </c>
    </row>
    <row r="27" spans="1:15">
      <c r="A27" s="2164">
        <v>8</v>
      </c>
      <c r="B27" s="193" t="s">
        <v>96</v>
      </c>
      <c r="C27" s="194">
        <v>206396</v>
      </c>
      <c r="D27" s="198">
        <f>ROUND((C27*(1+'Løntabel gældende fra'!$D$7%)),0)</f>
        <v>234075</v>
      </c>
      <c r="E27" s="196">
        <v>210482</v>
      </c>
      <c r="F27" s="197">
        <f>ROUND((E27*(1+'Løntabel gældende fra'!$D$7%)),0)</f>
        <v>238708</v>
      </c>
      <c r="G27" s="194">
        <v>213311</v>
      </c>
      <c r="H27" s="198">
        <f>ROUND((G27*(1+'Løntabel gældende fra'!$D$7%)),0)</f>
        <v>241917</v>
      </c>
      <c r="I27" s="196">
        <v>217397</v>
      </c>
      <c r="J27" s="197">
        <f>ROUND((I27*(1+'Løntabel gældende fra'!$D$7%)),0)</f>
        <v>246551</v>
      </c>
      <c r="K27" s="194">
        <v>220226</v>
      </c>
      <c r="L27" s="198">
        <f>ROUND((K27*(1+'Løntabel gældende fra'!$D$7%)),0)</f>
        <v>249759</v>
      </c>
      <c r="M27" s="422"/>
      <c r="N27" s="401">
        <v>192139.54</v>
      </c>
      <c r="O27" s="402">
        <f>ROUND(N27*(1+'Løntabel gældende fra'!$D$7%),2)</f>
        <v>217906.22</v>
      </c>
    </row>
    <row r="28" spans="1:15">
      <c r="A28" s="2165"/>
      <c r="B28" s="403" t="s">
        <v>97</v>
      </c>
      <c r="C28" s="408"/>
      <c r="D28" s="415">
        <f>ROUND(D27/12,2)</f>
        <v>19506.25</v>
      </c>
      <c r="E28" s="412">
        <f>E27/12</f>
        <v>17540.166666666668</v>
      </c>
      <c r="F28" s="397">
        <f>ROUND(F27/12,2)</f>
        <v>19892.330000000002</v>
      </c>
      <c r="G28" s="408">
        <f>G27/12</f>
        <v>17775.916666666668</v>
      </c>
      <c r="H28" s="415">
        <f>ROUND(H27/12,2)</f>
        <v>20159.75</v>
      </c>
      <c r="I28" s="412">
        <f>I27/12</f>
        <v>18116.416666666668</v>
      </c>
      <c r="J28" s="397">
        <f>ROUND(J27/12,2)</f>
        <v>20545.919999999998</v>
      </c>
      <c r="K28" s="408">
        <f>K27/12</f>
        <v>18352.166666666668</v>
      </c>
      <c r="L28" s="415">
        <f>ROUND(L27/12,2)</f>
        <v>20813.25</v>
      </c>
      <c r="M28" s="420"/>
      <c r="N28" s="398"/>
      <c r="O28" s="400">
        <f>ROUND(O27/12,2)</f>
        <v>18158.849999999999</v>
      </c>
    </row>
    <row r="29" spans="1:15" ht="16" thickBot="1">
      <c r="A29" s="2168"/>
      <c r="B29" s="404" t="s">
        <v>226</v>
      </c>
      <c r="C29" s="411">
        <f>C27/12</f>
        <v>17199.666666666668</v>
      </c>
      <c r="D29" s="416">
        <f>ROUND(D28/160.33,2)</f>
        <v>121.66</v>
      </c>
      <c r="E29" s="414"/>
      <c r="F29" s="416">
        <f t="shared" ref="F29:O29" si="8">ROUND(F28/160.33,2)</f>
        <v>124.07</v>
      </c>
      <c r="G29" s="416">
        <f t="shared" si="8"/>
        <v>110.87</v>
      </c>
      <c r="H29" s="416">
        <f t="shared" si="8"/>
        <v>125.74</v>
      </c>
      <c r="I29" s="416">
        <f t="shared" si="8"/>
        <v>112.99</v>
      </c>
      <c r="J29" s="416">
        <f t="shared" si="8"/>
        <v>128.15</v>
      </c>
      <c r="K29" s="416">
        <f t="shared" si="8"/>
        <v>114.46</v>
      </c>
      <c r="L29" s="416">
        <f t="shared" si="8"/>
        <v>129.82</v>
      </c>
      <c r="M29" s="416">
        <f t="shared" si="8"/>
        <v>0</v>
      </c>
      <c r="N29" s="416">
        <f t="shared" si="8"/>
        <v>0</v>
      </c>
      <c r="O29" s="416">
        <f t="shared" si="8"/>
        <v>113.26</v>
      </c>
    </row>
    <row r="30" spans="1:15">
      <c r="A30" s="2167">
        <v>9</v>
      </c>
      <c r="B30" s="378" t="s">
        <v>96</v>
      </c>
      <c r="C30" s="202">
        <v>209829</v>
      </c>
      <c r="D30" s="195">
        <f>ROUND((C30*(1+'Løntabel gældende fra'!$D$7%)),0)</f>
        <v>237968</v>
      </c>
      <c r="E30" s="203">
        <v>214015</v>
      </c>
      <c r="F30" s="204">
        <f>ROUND((E30*(1+'Løntabel gældende fra'!$D$7%)),0)</f>
        <v>242715</v>
      </c>
      <c r="G30" s="202">
        <v>216916</v>
      </c>
      <c r="H30" s="195">
        <f>ROUND((G30*(1+'Løntabel gældende fra'!$D$7%)),0)</f>
        <v>246005</v>
      </c>
      <c r="I30" s="203">
        <v>221102</v>
      </c>
      <c r="J30" s="204">
        <f>ROUND((I30*(1+'Løntabel gældende fra'!$D$7%)),0)</f>
        <v>250753</v>
      </c>
      <c r="K30" s="202">
        <v>224002</v>
      </c>
      <c r="L30" s="195">
        <f>ROUND((K30*(1+'Løntabel gældende fra'!$D$7%)),0)</f>
        <v>254042</v>
      </c>
      <c r="M30" s="421"/>
      <c r="N30" s="399">
        <v>195355.31</v>
      </c>
      <c r="O30" s="209">
        <f>ROUND(N30*(1+'Løntabel gældende fra'!$D$7%),2)</f>
        <v>221553.24</v>
      </c>
    </row>
    <row r="31" spans="1:15">
      <c r="A31" s="2165"/>
      <c r="B31" s="403" t="s">
        <v>231</v>
      </c>
      <c r="C31" s="408"/>
      <c r="D31" s="415">
        <f>ROUND(D30/12,2)</f>
        <v>19830.669999999998</v>
      </c>
      <c r="E31" s="412">
        <f>E30/12</f>
        <v>17834.583333333332</v>
      </c>
      <c r="F31" s="397">
        <f>ROUND(F30/12,2)</f>
        <v>20226.25</v>
      </c>
      <c r="G31" s="408">
        <f>G30/12</f>
        <v>18076.333333333332</v>
      </c>
      <c r="H31" s="415">
        <f>ROUND(H30/12,2)</f>
        <v>20500.419999999998</v>
      </c>
      <c r="I31" s="412">
        <f>I30/12</f>
        <v>18425.166666666668</v>
      </c>
      <c r="J31" s="397">
        <f>ROUND(J30/12,2)</f>
        <v>20896.080000000002</v>
      </c>
      <c r="K31" s="408">
        <f>K30/12</f>
        <v>18666.833333333332</v>
      </c>
      <c r="L31" s="415">
        <f>ROUND(L30/12,2)</f>
        <v>21170.17</v>
      </c>
      <c r="M31" s="420"/>
      <c r="N31" s="398"/>
      <c r="O31" s="400">
        <f>ROUND(O30/12,2)</f>
        <v>18462.77</v>
      </c>
    </row>
    <row r="32" spans="1:15" ht="16" thickBot="1">
      <c r="A32" s="2166"/>
      <c r="B32" s="380" t="s">
        <v>226</v>
      </c>
      <c r="C32" s="199">
        <f>C30/12</f>
        <v>17485.75</v>
      </c>
      <c r="D32" s="200">
        <f>ROUND(D31/160.33,2)</f>
        <v>123.69</v>
      </c>
      <c r="E32" s="413"/>
      <c r="F32" s="200">
        <f t="shared" ref="F32:O32" si="9">ROUND(F31/160.33,2)</f>
        <v>126.15</v>
      </c>
      <c r="G32" s="200">
        <f t="shared" si="9"/>
        <v>112.74</v>
      </c>
      <c r="H32" s="200">
        <f t="shared" si="9"/>
        <v>127.86</v>
      </c>
      <c r="I32" s="200">
        <f t="shared" si="9"/>
        <v>114.92</v>
      </c>
      <c r="J32" s="200">
        <f t="shared" si="9"/>
        <v>130.33000000000001</v>
      </c>
      <c r="K32" s="200">
        <f t="shared" si="9"/>
        <v>116.43</v>
      </c>
      <c r="L32" s="200">
        <f t="shared" si="9"/>
        <v>132.04</v>
      </c>
      <c r="M32" s="200">
        <f t="shared" si="9"/>
        <v>0</v>
      </c>
      <c r="N32" s="200">
        <f t="shared" si="9"/>
        <v>0</v>
      </c>
      <c r="O32" s="200">
        <f t="shared" si="9"/>
        <v>115.15</v>
      </c>
    </row>
    <row r="33" spans="1:15">
      <c r="A33" s="2164">
        <v>10</v>
      </c>
      <c r="B33" s="193" t="s">
        <v>96</v>
      </c>
      <c r="C33" s="194">
        <v>213353</v>
      </c>
      <c r="D33" s="198">
        <f>ROUND((C33*(1+'Løntabel gældende fra'!$D$7%)),0)</f>
        <v>241964</v>
      </c>
      <c r="E33" s="196">
        <v>217646</v>
      </c>
      <c r="F33" s="197">
        <f>ROUND((E33*(1+'Løntabel gældende fra'!$D$7%)),0)</f>
        <v>246833</v>
      </c>
      <c r="G33" s="194">
        <v>220617</v>
      </c>
      <c r="H33" s="198">
        <f>ROUND((G33*(1+'Løntabel gældende fra'!$D$7%)),0)</f>
        <v>250203</v>
      </c>
      <c r="I33" s="196">
        <v>224909</v>
      </c>
      <c r="J33" s="197">
        <f>ROUND((I33*(1+'Løntabel gældende fra'!$D$7%)),0)</f>
        <v>255070</v>
      </c>
      <c r="K33" s="194">
        <v>227882</v>
      </c>
      <c r="L33" s="198">
        <f>ROUND((K33*(1+'Løntabel gældende fra'!$D$7%)),0)</f>
        <v>258442</v>
      </c>
      <c r="M33" s="422"/>
      <c r="N33" s="401">
        <v>198659.5</v>
      </c>
      <c r="O33" s="402">
        <f>ROUND(N33*(1+'Løntabel gældende fra'!$D$7%),2)</f>
        <v>225300.53</v>
      </c>
    </row>
    <row r="34" spans="1:15">
      <c r="A34" s="2165"/>
      <c r="B34" s="403" t="s">
        <v>97</v>
      </c>
      <c r="C34" s="408"/>
      <c r="D34" s="415">
        <f>ROUND(D33/12,2)</f>
        <v>20163.669999999998</v>
      </c>
      <c r="E34" s="412">
        <f>E33/12</f>
        <v>18137.166666666668</v>
      </c>
      <c r="F34" s="397">
        <f>ROUND(F33/12,2)</f>
        <v>20569.419999999998</v>
      </c>
      <c r="G34" s="408">
        <f>G33/12</f>
        <v>18384.75</v>
      </c>
      <c r="H34" s="415">
        <f>ROUND(H33/12,2)</f>
        <v>20850.25</v>
      </c>
      <c r="I34" s="412">
        <f>I33/12</f>
        <v>18742.416666666668</v>
      </c>
      <c r="J34" s="397">
        <f>ROUND(J33/12,2)</f>
        <v>21255.83</v>
      </c>
      <c r="K34" s="408">
        <f>K33/12</f>
        <v>18990.166666666668</v>
      </c>
      <c r="L34" s="415">
        <f>ROUND(L33/12,2)</f>
        <v>21536.83</v>
      </c>
      <c r="M34" s="420"/>
      <c r="N34" s="398"/>
      <c r="O34" s="400">
        <f>ROUND(O33/12,2)</f>
        <v>18775.04</v>
      </c>
    </row>
    <row r="35" spans="1:15" ht="16" thickBot="1">
      <c r="A35" s="2168"/>
      <c r="B35" s="404" t="s">
        <v>226</v>
      </c>
      <c r="C35" s="411">
        <f>C33/12</f>
        <v>17779.416666666668</v>
      </c>
      <c r="D35" s="416">
        <f>ROUND(D34/160.33,2)</f>
        <v>125.76</v>
      </c>
      <c r="E35" s="414"/>
      <c r="F35" s="416">
        <f t="shared" ref="F35:O35" si="10">ROUND(F34/160.33,2)</f>
        <v>128.29</v>
      </c>
      <c r="G35" s="416">
        <f t="shared" si="10"/>
        <v>114.67</v>
      </c>
      <c r="H35" s="416">
        <f t="shared" si="10"/>
        <v>130.05000000000001</v>
      </c>
      <c r="I35" s="416">
        <f t="shared" si="10"/>
        <v>116.9</v>
      </c>
      <c r="J35" s="416">
        <f t="shared" si="10"/>
        <v>132.58000000000001</v>
      </c>
      <c r="K35" s="416">
        <f t="shared" si="10"/>
        <v>118.44</v>
      </c>
      <c r="L35" s="416">
        <f t="shared" si="10"/>
        <v>134.33000000000001</v>
      </c>
      <c r="M35" s="416">
        <f t="shared" si="10"/>
        <v>0</v>
      </c>
      <c r="N35" s="416">
        <f t="shared" si="10"/>
        <v>0</v>
      </c>
      <c r="O35" s="416">
        <f t="shared" si="10"/>
        <v>117.1</v>
      </c>
    </row>
    <row r="36" spans="1:15">
      <c r="A36" s="2167">
        <v>11</v>
      </c>
      <c r="B36" s="378" t="s">
        <v>96</v>
      </c>
      <c r="C36" s="202">
        <v>216134</v>
      </c>
      <c r="D36" s="195">
        <f>ROUND((C36*(1+'Løntabel gældende fra'!$D$7%)),0)</f>
        <v>245118</v>
      </c>
      <c r="E36" s="203">
        <v>220533</v>
      </c>
      <c r="F36" s="204">
        <f>ROUND((E36*(1+'Løntabel gældende fra'!$D$7%)),0)</f>
        <v>250107</v>
      </c>
      <c r="G36" s="202">
        <v>223579</v>
      </c>
      <c r="H36" s="195">
        <f>ROUND((G36*(1+'Løntabel gældende fra'!$D$7%)),0)</f>
        <v>253562</v>
      </c>
      <c r="I36" s="203">
        <v>227978</v>
      </c>
      <c r="J36" s="204">
        <f>ROUND((I36*(1+'Løntabel gældende fra'!$D$7%)),0)</f>
        <v>258551</v>
      </c>
      <c r="K36" s="202">
        <v>231023</v>
      </c>
      <c r="L36" s="195">
        <f>ROUND((K36*(1+'Løntabel gældende fra'!$D$7%)),0)</f>
        <v>262004</v>
      </c>
      <c r="M36" s="421"/>
      <c r="N36" s="399">
        <v>202053.93</v>
      </c>
      <c r="O36" s="209">
        <f>ROUND(N36*(1+'Løntabel gældende fra'!$D$7%),2)</f>
        <v>229150.17</v>
      </c>
    </row>
    <row r="37" spans="1:15">
      <c r="A37" s="2165"/>
      <c r="B37" s="403" t="s">
        <v>231</v>
      </c>
      <c r="C37" s="408"/>
      <c r="D37" s="415">
        <f>ROUND(D36/12,2)</f>
        <v>20426.5</v>
      </c>
      <c r="E37" s="412">
        <f>E36/12</f>
        <v>18377.75</v>
      </c>
      <c r="F37" s="397">
        <f>ROUND(F36/12,2)</f>
        <v>20842.25</v>
      </c>
      <c r="G37" s="408">
        <f>G36/12</f>
        <v>18631.583333333332</v>
      </c>
      <c r="H37" s="415">
        <f>ROUND(H36/12,2)</f>
        <v>21130.17</v>
      </c>
      <c r="I37" s="412">
        <f>I36/12</f>
        <v>18998.166666666668</v>
      </c>
      <c r="J37" s="397">
        <f>ROUND(J36/12,2)</f>
        <v>21545.919999999998</v>
      </c>
      <c r="K37" s="408">
        <f>K36/12</f>
        <v>19251.916666666668</v>
      </c>
      <c r="L37" s="415">
        <f>ROUND(L36/12,2)</f>
        <v>21833.67</v>
      </c>
      <c r="M37" s="420"/>
      <c r="N37" s="398"/>
      <c r="O37" s="400">
        <f>ROUND(O36/12,2)</f>
        <v>19095.849999999999</v>
      </c>
    </row>
    <row r="38" spans="1:15" ht="16" thickBot="1">
      <c r="A38" s="2166"/>
      <c r="B38" s="380" t="s">
        <v>226</v>
      </c>
      <c r="C38" s="199">
        <f>C36/12</f>
        <v>18011.166666666668</v>
      </c>
      <c r="D38" s="200">
        <f>ROUND(D37/160.33,2)</f>
        <v>127.4</v>
      </c>
      <c r="E38" s="413"/>
      <c r="F38" s="200">
        <f t="shared" ref="F38:O38" si="11">ROUND(F37/160.33,2)</f>
        <v>130</v>
      </c>
      <c r="G38" s="200">
        <f t="shared" si="11"/>
        <v>116.21</v>
      </c>
      <c r="H38" s="200">
        <f t="shared" si="11"/>
        <v>131.79</v>
      </c>
      <c r="I38" s="200">
        <f t="shared" si="11"/>
        <v>118.49</v>
      </c>
      <c r="J38" s="200">
        <f t="shared" si="11"/>
        <v>134.38</v>
      </c>
      <c r="K38" s="200">
        <f t="shared" si="11"/>
        <v>120.08</v>
      </c>
      <c r="L38" s="200">
        <f t="shared" si="11"/>
        <v>136.18</v>
      </c>
      <c r="M38" s="200">
        <f t="shared" si="11"/>
        <v>0</v>
      </c>
      <c r="N38" s="200">
        <f t="shared" si="11"/>
        <v>0</v>
      </c>
      <c r="O38" s="200">
        <f t="shared" si="11"/>
        <v>119.1</v>
      </c>
    </row>
    <row r="39" spans="1:15">
      <c r="A39" s="2164">
        <v>12</v>
      </c>
      <c r="B39" s="193" t="s">
        <v>96</v>
      </c>
      <c r="C39" s="194">
        <v>219855</v>
      </c>
      <c r="D39" s="198">
        <f>ROUND((C39*(1+'Løntabel gældende fra'!$D$7%)),0)</f>
        <v>249338</v>
      </c>
      <c r="E39" s="196">
        <v>224365</v>
      </c>
      <c r="F39" s="197">
        <f>ROUND((E39*(1+'Løntabel gældende fra'!$D$7%)),0)</f>
        <v>254453</v>
      </c>
      <c r="G39" s="194">
        <v>227489</v>
      </c>
      <c r="H39" s="198">
        <f>ROUND((G39*(1+'Løntabel gældende fra'!$D$7%)),0)</f>
        <v>257996</v>
      </c>
      <c r="I39" s="196">
        <v>231997</v>
      </c>
      <c r="J39" s="197">
        <f>ROUND((I39*(1+'Løntabel gældende fra'!$D$7%)),0)</f>
        <v>263109</v>
      </c>
      <c r="K39" s="194">
        <v>235119</v>
      </c>
      <c r="L39" s="198">
        <f>ROUND((K39*(1+'Løntabel gældende fra'!$D$7%)),0)</f>
        <v>266649</v>
      </c>
      <c r="M39" s="422"/>
      <c r="N39" s="401">
        <v>205542.18</v>
      </c>
      <c r="O39" s="402">
        <f>ROUND(N39*(1+'Løntabel gældende fra'!$D$7%),2)</f>
        <v>233106.21</v>
      </c>
    </row>
    <row r="40" spans="1:15">
      <c r="A40" s="2165"/>
      <c r="B40" s="403" t="s">
        <v>97</v>
      </c>
      <c r="C40" s="408"/>
      <c r="D40" s="415">
        <f>ROUND(D39/12,2)</f>
        <v>20778.169999999998</v>
      </c>
      <c r="E40" s="412">
        <f>E39/12</f>
        <v>18697.083333333332</v>
      </c>
      <c r="F40" s="397">
        <f>ROUND(F39/12,2)</f>
        <v>21204.42</v>
      </c>
      <c r="G40" s="408">
        <f>G39/12</f>
        <v>18957.416666666668</v>
      </c>
      <c r="H40" s="415">
        <f>ROUND(H39/12,2)</f>
        <v>21499.67</v>
      </c>
      <c r="I40" s="412">
        <f>I39/12</f>
        <v>19333.083333333332</v>
      </c>
      <c r="J40" s="397">
        <f>ROUND(J39/12,2)</f>
        <v>21925.75</v>
      </c>
      <c r="K40" s="408">
        <f>K39/12</f>
        <v>19593.25</v>
      </c>
      <c r="L40" s="415">
        <f>ROUND(L39/12,2)</f>
        <v>22220.75</v>
      </c>
      <c r="M40" s="420"/>
      <c r="N40" s="398"/>
      <c r="O40" s="400">
        <f>ROUND(O39/12,2)</f>
        <v>19425.52</v>
      </c>
    </row>
    <row r="41" spans="1:15" ht="16" thickBot="1">
      <c r="A41" s="2168"/>
      <c r="B41" s="404" t="s">
        <v>226</v>
      </c>
      <c r="C41" s="411">
        <f>C39/12</f>
        <v>18321.25</v>
      </c>
      <c r="D41" s="416">
        <f>ROUND(D40/160.33,2)</f>
        <v>129.6</v>
      </c>
      <c r="E41" s="416">
        <f t="shared" ref="E41:O41" si="12">ROUND(E40/160.33,2)</f>
        <v>116.62</v>
      </c>
      <c r="F41" s="416">
        <f t="shared" si="12"/>
        <v>132.25</v>
      </c>
      <c r="G41" s="416">
        <f t="shared" si="12"/>
        <v>118.24</v>
      </c>
      <c r="H41" s="416">
        <f t="shared" si="12"/>
        <v>134.1</v>
      </c>
      <c r="I41" s="416">
        <f t="shared" si="12"/>
        <v>120.58</v>
      </c>
      <c r="J41" s="416">
        <f t="shared" si="12"/>
        <v>136.75</v>
      </c>
      <c r="K41" s="416">
        <f t="shared" si="12"/>
        <v>122.21</v>
      </c>
      <c r="L41" s="416">
        <f t="shared" si="12"/>
        <v>138.59</v>
      </c>
      <c r="M41" s="416">
        <f t="shared" si="12"/>
        <v>0</v>
      </c>
      <c r="N41" s="416">
        <f t="shared" si="12"/>
        <v>0</v>
      </c>
      <c r="O41" s="416">
        <f t="shared" si="12"/>
        <v>121.16</v>
      </c>
    </row>
    <row r="42" spans="1:15">
      <c r="A42" s="2167">
        <v>13</v>
      </c>
      <c r="B42" s="378" t="s">
        <v>96</v>
      </c>
      <c r="C42" s="202">
        <v>223681</v>
      </c>
      <c r="D42" s="195">
        <f>ROUND((C42*(1+'Løntabel gældende fra'!$D$7%)),0)</f>
        <v>253678</v>
      </c>
      <c r="E42" s="203">
        <v>228304</v>
      </c>
      <c r="F42" s="204">
        <f>ROUND((E42*(1+'Løntabel gældende fra'!$D$7%)),0)</f>
        <v>258920</v>
      </c>
      <c r="G42" s="202">
        <v>231504</v>
      </c>
      <c r="H42" s="195">
        <f>ROUND((G42*(1+'Løntabel gældende fra'!$D$7%)),0)</f>
        <v>262550</v>
      </c>
      <c r="I42" s="203">
        <v>236129</v>
      </c>
      <c r="J42" s="204">
        <f>ROUND((I42*(1+'Løntabel gældende fra'!$D$7%)),0)</f>
        <v>267795</v>
      </c>
      <c r="K42" s="202">
        <v>239328</v>
      </c>
      <c r="L42" s="195">
        <f>ROUND((K42*(1+'Løntabel gældende fra'!$D$7%)),0)</f>
        <v>271423</v>
      </c>
      <c r="M42" s="421"/>
      <c r="N42" s="399">
        <v>209126.09</v>
      </c>
      <c r="O42" s="209">
        <f>ROUND(N42*(1+'Løntabel gældende fra'!$D$7%),2)</f>
        <v>237170.74</v>
      </c>
    </row>
    <row r="43" spans="1:15">
      <c r="A43" s="2165"/>
      <c r="B43" s="403" t="s">
        <v>231</v>
      </c>
      <c r="C43" s="408"/>
      <c r="D43" s="415">
        <f>ROUND(D42/12,2)</f>
        <v>21139.83</v>
      </c>
      <c r="E43" s="412">
        <f>E42/12</f>
        <v>19025.333333333332</v>
      </c>
      <c r="F43" s="397">
        <f>ROUND(F42/12,2)</f>
        <v>21576.67</v>
      </c>
      <c r="G43" s="408">
        <f>G42/12</f>
        <v>19292</v>
      </c>
      <c r="H43" s="415">
        <f>ROUND(H42/12,2)</f>
        <v>21879.17</v>
      </c>
      <c r="I43" s="412">
        <f>I42/12</f>
        <v>19677.416666666668</v>
      </c>
      <c r="J43" s="397">
        <f>ROUND(J42/12,2)</f>
        <v>22316.25</v>
      </c>
      <c r="K43" s="408">
        <f>K42/12</f>
        <v>19944</v>
      </c>
      <c r="L43" s="415">
        <f>ROUND(L42/12,2)</f>
        <v>22618.58</v>
      </c>
      <c r="M43" s="420"/>
      <c r="N43" s="398"/>
      <c r="O43" s="400">
        <f>ROUND(O42/12,2)</f>
        <v>19764.23</v>
      </c>
    </row>
    <row r="44" spans="1:15" ht="16" thickBot="1">
      <c r="A44" s="2166"/>
      <c r="B44" s="380" t="s">
        <v>226</v>
      </c>
      <c r="C44" s="199">
        <f>C42/12</f>
        <v>18640.083333333332</v>
      </c>
      <c r="D44" s="200">
        <f>ROUND(D43/160.33,2)</f>
        <v>131.85</v>
      </c>
      <c r="E44" s="413"/>
      <c r="F44" s="200">
        <f t="shared" ref="F44:O44" si="13">ROUND(F43/160.33,2)</f>
        <v>134.58000000000001</v>
      </c>
      <c r="G44" s="200">
        <f t="shared" si="13"/>
        <v>120.33</v>
      </c>
      <c r="H44" s="200">
        <f t="shared" si="13"/>
        <v>136.46</v>
      </c>
      <c r="I44" s="200">
        <f t="shared" si="13"/>
        <v>122.73</v>
      </c>
      <c r="J44" s="200">
        <f t="shared" si="13"/>
        <v>139.19</v>
      </c>
      <c r="K44" s="200">
        <f t="shared" si="13"/>
        <v>124.39</v>
      </c>
      <c r="L44" s="200">
        <f t="shared" si="13"/>
        <v>141.08000000000001</v>
      </c>
      <c r="M44" s="200">
        <f t="shared" si="13"/>
        <v>0</v>
      </c>
      <c r="N44" s="200">
        <f t="shared" si="13"/>
        <v>0</v>
      </c>
      <c r="O44" s="200">
        <f t="shared" si="13"/>
        <v>123.27</v>
      </c>
    </row>
    <row r="45" spans="1:15">
      <c r="A45" s="2167">
        <v>14</v>
      </c>
      <c r="B45" s="378" t="s">
        <v>96</v>
      </c>
      <c r="C45" s="202">
        <v>227611</v>
      </c>
      <c r="D45" s="195">
        <f>ROUND((C45*(1+'Løntabel gældende fra'!$D$7%)),0)</f>
        <v>258135</v>
      </c>
      <c r="E45" s="203">
        <v>232351</v>
      </c>
      <c r="F45" s="204">
        <f>ROUND((E45*(1+'Løntabel gældende fra'!$D$7%)),0)</f>
        <v>263510</v>
      </c>
      <c r="G45" s="202">
        <v>235632</v>
      </c>
      <c r="H45" s="195">
        <f>ROUND((G45*(1+'Løntabel gældende fra'!$D$7%)),0)</f>
        <v>267231</v>
      </c>
      <c r="I45" s="203">
        <v>240371</v>
      </c>
      <c r="J45" s="204">
        <f>ROUND((I45*(1+'Løntabel gældende fra'!$D$7%)),0)</f>
        <v>272606</v>
      </c>
      <c r="K45" s="202">
        <v>243652</v>
      </c>
      <c r="L45" s="195">
        <f>ROUND((K45*(1+'Løntabel gældende fra'!$D$7%)),0)</f>
        <v>276327</v>
      </c>
      <c r="M45" s="421"/>
      <c r="N45" s="399">
        <v>212809.24</v>
      </c>
      <c r="O45" s="209">
        <f>ROUND(N45*(1+'Løntabel gældende fra'!$D$7%),2)</f>
        <v>241347.81</v>
      </c>
    </row>
    <row r="46" spans="1:15">
      <c r="A46" s="2165"/>
      <c r="B46" s="403" t="s">
        <v>231</v>
      </c>
      <c r="C46" s="408"/>
      <c r="D46" s="415">
        <f>ROUND(D45/12,2)</f>
        <v>21511.25</v>
      </c>
      <c r="E46" s="412">
        <f>E45/12</f>
        <v>19362.583333333332</v>
      </c>
      <c r="F46" s="397">
        <f>ROUND(F45/12,2)</f>
        <v>21959.17</v>
      </c>
      <c r="G46" s="408">
        <f>G45/12</f>
        <v>19636</v>
      </c>
      <c r="H46" s="415">
        <f>ROUND(H45/12,2)</f>
        <v>22269.25</v>
      </c>
      <c r="I46" s="412">
        <f>I45/12</f>
        <v>20030.916666666668</v>
      </c>
      <c r="J46" s="397">
        <f>ROUND(J45/12,2)</f>
        <v>22717.17</v>
      </c>
      <c r="K46" s="408">
        <f>K45/12</f>
        <v>20304.333333333332</v>
      </c>
      <c r="L46" s="415">
        <f>ROUND(L45/12,2)</f>
        <v>23027.25</v>
      </c>
      <c r="M46" s="420"/>
      <c r="N46" s="398"/>
      <c r="O46" s="400">
        <f>ROUND(O45/12,2)</f>
        <v>20112.32</v>
      </c>
    </row>
    <row r="47" spans="1:15" ht="16" thickBot="1">
      <c r="A47" s="2166"/>
      <c r="B47" s="380" t="s">
        <v>226</v>
      </c>
      <c r="C47" s="199">
        <f>C45/12</f>
        <v>18967.583333333332</v>
      </c>
      <c r="D47" s="200">
        <f>ROUND(D46/160.33,2)</f>
        <v>134.16999999999999</v>
      </c>
      <c r="E47" s="413"/>
      <c r="F47" s="200">
        <f t="shared" ref="F47:O47" si="14">ROUND(F46/160.33,2)</f>
        <v>136.96</v>
      </c>
      <c r="G47" s="200">
        <f t="shared" si="14"/>
        <v>122.47</v>
      </c>
      <c r="H47" s="200">
        <f t="shared" si="14"/>
        <v>138.9</v>
      </c>
      <c r="I47" s="200">
        <f t="shared" si="14"/>
        <v>124.94</v>
      </c>
      <c r="J47" s="200">
        <f t="shared" si="14"/>
        <v>141.69</v>
      </c>
      <c r="K47" s="200">
        <f t="shared" si="14"/>
        <v>126.64</v>
      </c>
      <c r="L47" s="200">
        <f t="shared" si="14"/>
        <v>143.62</v>
      </c>
      <c r="M47" s="200">
        <f t="shared" si="14"/>
        <v>0</v>
      </c>
      <c r="N47" s="200">
        <f t="shared" si="14"/>
        <v>0</v>
      </c>
      <c r="O47" s="200">
        <f t="shared" si="14"/>
        <v>125.44</v>
      </c>
    </row>
    <row r="48" spans="1:15">
      <c r="A48" s="2167">
        <v>15</v>
      </c>
      <c r="B48" s="378" t="s">
        <v>96</v>
      </c>
      <c r="C48" s="202">
        <v>231649</v>
      </c>
      <c r="D48" s="195">
        <f>ROUND((C48*(1+'Løntabel gældende fra'!$D$7%)),0)</f>
        <v>262714</v>
      </c>
      <c r="E48" s="203">
        <v>236507</v>
      </c>
      <c r="F48" s="204">
        <f>ROUND((E48*(1+'Løntabel gældende fra'!$D$7%)),0)</f>
        <v>268224</v>
      </c>
      <c r="G48" s="202">
        <v>239870</v>
      </c>
      <c r="H48" s="195">
        <f>ROUND((G48*(1+'Løntabel gældende fra'!$D$7%)),0)</f>
        <v>272038</v>
      </c>
      <c r="I48" s="203">
        <v>244730</v>
      </c>
      <c r="J48" s="204">
        <f>ROUND((I48*(1+'Løntabel gældende fra'!$D$7%)),0)</f>
        <v>277549</v>
      </c>
      <c r="K48" s="202">
        <v>248094</v>
      </c>
      <c r="L48" s="195">
        <f>ROUND((K48*(1+'Løntabel gældende fra'!$D$7%)),0)</f>
        <v>281364</v>
      </c>
      <c r="M48" s="421"/>
      <c r="N48" s="399">
        <v>216591.65</v>
      </c>
      <c r="O48" s="209">
        <f>ROUND(N48*(1+'Løntabel gældende fra'!$D$7%),2)</f>
        <v>245637.46</v>
      </c>
    </row>
    <row r="49" spans="1:15">
      <c r="A49" s="2165"/>
      <c r="B49" s="403" t="s">
        <v>97</v>
      </c>
      <c r="C49" s="408"/>
      <c r="D49" s="415">
        <f>ROUND(D48/12,2)</f>
        <v>21892.83</v>
      </c>
      <c r="E49" s="412">
        <f>E48/12</f>
        <v>19708.916666666668</v>
      </c>
      <c r="F49" s="397">
        <f>ROUND(F48/12,2)</f>
        <v>22352</v>
      </c>
      <c r="G49" s="408">
        <f>G48/12</f>
        <v>19989.166666666668</v>
      </c>
      <c r="H49" s="415">
        <f>ROUND(H48/12,2)</f>
        <v>22669.83</v>
      </c>
      <c r="I49" s="412">
        <f>I48/12</f>
        <v>20394.166666666668</v>
      </c>
      <c r="J49" s="397">
        <f>ROUND(J48/12,2)</f>
        <v>23129.08</v>
      </c>
      <c r="K49" s="408">
        <f>K48/12</f>
        <v>20674.5</v>
      </c>
      <c r="L49" s="415">
        <f>ROUND(L48/12,2)</f>
        <v>23447</v>
      </c>
      <c r="M49" s="420"/>
      <c r="N49" s="398"/>
      <c r="O49" s="400">
        <f>ROUND(O48/12,2)</f>
        <v>20469.79</v>
      </c>
    </row>
    <row r="50" spans="1:15" ht="16" thickBot="1">
      <c r="A50" s="2166"/>
      <c r="B50" s="380" t="s">
        <v>226</v>
      </c>
      <c r="C50" s="199">
        <f>C48/12</f>
        <v>19304.083333333332</v>
      </c>
      <c r="D50" s="200">
        <f>ROUND(D49/160.33,2)</f>
        <v>136.55000000000001</v>
      </c>
      <c r="E50" s="413"/>
      <c r="F50" s="200">
        <f t="shared" ref="F50:O50" si="15">ROUND(F49/160.33,2)</f>
        <v>139.41</v>
      </c>
      <c r="G50" s="200">
        <f t="shared" si="15"/>
        <v>124.68</v>
      </c>
      <c r="H50" s="200">
        <f t="shared" si="15"/>
        <v>141.38999999999999</v>
      </c>
      <c r="I50" s="200">
        <f t="shared" si="15"/>
        <v>127.2</v>
      </c>
      <c r="J50" s="200">
        <f t="shared" si="15"/>
        <v>144.26</v>
      </c>
      <c r="K50" s="200">
        <f t="shared" si="15"/>
        <v>128.94999999999999</v>
      </c>
      <c r="L50" s="200">
        <f t="shared" si="15"/>
        <v>146.24</v>
      </c>
      <c r="M50" s="200">
        <f t="shared" si="15"/>
        <v>0</v>
      </c>
      <c r="N50" s="200">
        <f t="shared" si="15"/>
        <v>0</v>
      </c>
      <c r="O50" s="200">
        <f t="shared" si="15"/>
        <v>127.67</v>
      </c>
    </row>
    <row r="51" spans="1:15">
      <c r="A51" s="2167">
        <v>16</v>
      </c>
      <c r="B51" s="378" t="s">
        <v>96</v>
      </c>
      <c r="C51" s="202">
        <v>234743</v>
      </c>
      <c r="D51" s="195">
        <f>ROUND((C51*(1+'Løntabel gældende fra'!$D$7%)),0)</f>
        <v>266223</v>
      </c>
      <c r="E51" s="203">
        <v>239725</v>
      </c>
      <c r="F51" s="204">
        <f>ROUND((E51*(1+'Løntabel gældende fra'!$D$7%)),0)</f>
        <v>271873</v>
      </c>
      <c r="G51" s="202">
        <v>243175</v>
      </c>
      <c r="H51" s="195">
        <f>ROUND((G51*(1+'Løntabel gældende fra'!$D$7%)),0)</f>
        <v>275786</v>
      </c>
      <c r="I51" s="203">
        <v>248156</v>
      </c>
      <c r="J51" s="204">
        <f>ROUND((I51*(1+'Løntabel gældende fra'!$D$7%)),0)</f>
        <v>281435</v>
      </c>
      <c r="K51" s="202">
        <v>251606</v>
      </c>
      <c r="L51" s="195">
        <f>ROUND((K51*(1+'Løntabel gældende fra'!$D$7%)),0)</f>
        <v>285347</v>
      </c>
      <c r="M51" s="421"/>
      <c r="N51" s="399">
        <v>220480.52</v>
      </c>
      <c r="O51" s="209">
        <f>ROUND(N51*(1+'Løntabel gældende fra'!$D$7%),2)</f>
        <v>250047.84</v>
      </c>
    </row>
    <row r="52" spans="1:15">
      <c r="A52" s="2165"/>
      <c r="B52" s="403" t="s">
        <v>231</v>
      </c>
      <c r="C52" s="408"/>
      <c r="D52" s="415">
        <f>ROUND(D51/12,2)</f>
        <v>22185.25</v>
      </c>
      <c r="E52" s="412">
        <f>E51/12</f>
        <v>19977.083333333332</v>
      </c>
      <c r="F52" s="397">
        <f>ROUND(F51/12,2)</f>
        <v>22656.080000000002</v>
      </c>
      <c r="G52" s="408">
        <f>G51/12</f>
        <v>20264.583333333332</v>
      </c>
      <c r="H52" s="415">
        <f>ROUND(H51/12,2)</f>
        <v>22982.17</v>
      </c>
      <c r="I52" s="412">
        <f>I51/12</f>
        <v>20679.666666666668</v>
      </c>
      <c r="J52" s="397">
        <f>ROUND(J51/12,2)</f>
        <v>23452.92</v>
      </c>
      <c r="K52" s="408">
        <f>K51/12</f>
        <v>20967.166666666668</v>
      </c>
      <c r="L52" s="415">
        <f>ROUND(L51/12,2)</f>
        <v>23778.92</v>
      </c>
      <c r="M52" s="420"/>
      <c r="N52" s="398"/>
      <c r="O52" s="400">
        <f>ROUND(O51/12,2)</f>
        <v>20837.32</v>
      </c>
    </row>
    <row r="53" spans="1:15" ht="16" thickBot="1">
      <c r="A53" s="2166"/>
      <c r="B53" s="380" t="s">
        <v>226</v>
      </c>
      <c r="C53" s="199">
        <f>C51/12</f>
        <v>19561.916666666668</v>
      </c>
      <c r="D53" s="200">
        <f>ROUND(D52/160.33,2)</f>
        <v>138.37</v>
      </c>
      <c r="E53" s="413"/>
      <c r="F53" s="200">
        <f t="shared" ref="F53:O53" si="16">ROUND(F52/160.33,2)</f>
        <v>141.31</v>
      </c>
      <c r="G53" s="200">
        <f t="shared" si="16"/>
        <v>126.39</v>
      </c>
      <c r="H53" s="200">
        <f t="shared" si="16"/>
        <v>143.34</v>
      </c>
      <c r="I53" s="200">
        <f t="shared" si="16"/>
        <v>128.97999999999999</v>
      </c>
      <c r="J53" s="200">
        <f t="shared" si="16"/>
        <v>146.28</v>
      </c>
      <c r="K53" s="200">
        <f t="shared" si="16"/>
        <v>130.78</v>
      </c>
      <c r="L53" s="200">
        <f t="shared" si="16"/>
        <v>148.31</v>
      </c>
      <c r="M53" s="200">
        <f t="shared" si="16"/>
        <v>0</v>
      </c>
      <c r="N53" s="200">
        <f t="shared" si="16"/>
        <v>0</v>
      </c>
      <c r="O53" s="200">
        <f t="shared" si="16"/>
        <v>129.97</v>
      </c>
    </row>
    <row r="54" spans="1:15">
      <c r="A54" s="2164">
        <v>17</v>
      </c>
      <c r="B54" s="193" t="s">
        <v>96</v>
      </c>
      <c r="C54" s="194">
        <v>239005</v>
      </c>
      <c r="D54" s="198">
        <f>ROUND((C54*(1+'Løntabel gældende fra'!$D$7%)),0)</f>
        <v>271057</v>
      </c>
      <c r="E54" s="196">
        <v>244114</v>
      </c>
      <c r="F54" s="197">
        <f>ROUND((E54*(1+'Løntabel gældende fra'!$D$7%)),0)</f>
        <v>276851</v>
      </c>
      <c r="G54" s="194">
        <v>247651</v>
      </c>
      <c r="H54" s="198">
        <f>ROUND((G54*(1+'Løntabel gældende fra'!$D$7%)),0)</f>
        <v>280862</v>
      </c>
      <c r="I54" s="196">
        <v>252759</v>
      </c>
      <c r="J54" s="197">
        <f>ROUND((I54*(1+'Løntabel gældende fra'!$D$7%)),0)</f>
        <v>286655</v>
      </c>
      <c r="K54" s="194">
        <v>256294</v>
      </c>
      <c r="L54" s="198">
        <f>ROUND((K54*(1+'Løntabel gældende fra'!$D$7%)),0)</f>
        <v>290664</v>
      </c>
      <c r="M54" s="422"/>
      <c r="N54" s="401">
        <v>224474.06</v>
      </c>
      <c r="O54" s="402">
        <f>ROUND(N54*(1+'Løntabel gældende fra'!$D$7%),2)</f>
        <v>254576.93</v>
      </c>
    </row>
    <row r="55" spans="1:15">
      <c r="A55" s="2165"/>
      <c r="B55" s="403" t="s">
        <v>231</v>
      </c>
      <c r="C55" s="408"/>
      <c r="D55" s="415">
        <f>ROUND(D54/12,2)</f>
        <v>22588.080000000002</v>
      </c>
      <c r="E55" s="412">
        <f>E54/12</f>
        <v>20342.833333333332</v>
      </c>
      <c r="F55" s="397">
        <f>ROUND(F54/12,2)</f>
        <v>23070.92</v>
      </c>
      <c r="G55" s="408">
        <f>G54/12</f>
        <v>20637.583333333332</v>
      </c>
      <c r="H55" s="415">
        <f>ROUND(H54/12,2)</f>
        <v>23405.17</v>
      </c>
      <c r="I55" s="412">
        <f>I54/12</f>
        <v>21063.25</v>
      </c>
      <c r="J55" s="397">
        <f>ROUND(J54/12,2)</f>
        <v>23887.919999999998</v>
      </c>
      <c r="K55" s="408">
        <f>K54/12</f>
        <v>21357.833333333332</v>
      </c>
      <c r="L55" s="415">
        <f>ROUND(L54/12,2)</f>
        <v>24222</v>
      </c>
      <c r="M55" s="420"/>
      <c r="N55" s="398"/>
      <c r="O55" s="400">
        <f>ROUND(O54/12,2)</f>
        <v>21214.74</v>
      </c>
    </row>
    <row r="56" spans="1:15" ht="16" thickBot="1">
      <c r="A56" s="2168"/>
      <c r="B56" s="404" t="s">
        <v>226</v>
      </c>
      <c r="C56" s="411">
        <f>C54/12</f>
        <v>19917.083333333332</v>
      </c>
      <c r="D56" s="200">
        <f>ROUND(D55/160.33,2)</f>
        <v>140.88</v>
      </c>
      <c r="E56" s="414"/>
      <c r="F56" s="200">
        <f t="shared" ref="F56:O56" si="17">ROUND(F55/160.33,2)</f>
        <v>143.9</v>
      </c>
      <c r="G56" s="200">
        <f t="shared" si="17"/>
        <v>128.72</v>
      </c>
      <c r="H56" s="200">
        <f t="shared" si="17"/>
        <v>145.97999999999999</v>
      </c>
      <c r="I56" s="200">
        <f t="shared" si="17"/>
        <v>131.37</v>
      </c>
      <c r="J56" s="200">
        <f t="shared" si="17"/>
        <v>148.99</v>
      </c>
      <c r="K56" s="200">
        <f t="shared" si="17"/>
        <v>133.21</v>
      </c>
      <c r="L56" s="200">
        <f t="shared" si="17"/>
        <v>151.08000000000001</v>
      </c>
      <c r="M56" s="200">
        <f t="shared" si="17"/>
        <v>0</v>
      </c>
      <c r="N56" s="200">
        <f t="shared" si="17"/>
        <v>0</v>
      </c>
      <c r="O56" s="200">
        <f t="shared" si="17"/>
        <v>132.32</v>
      </c>
    </row>
    <row r="57" spans="1:15">
      <c r="A57" s="2167">
        <v>18</v>
      </c>
      <c r="B57" s="378" t="s">
        <v>96</v>
      </c>
      <c r="C57" s="202">
        <v>243387</v>
      </c>
      <c r="D57" s="195">
        <f>ROUND((C57*(1+'Løntabel gældende fra'!$D$7%)),0)</f>
        <v>276026</v>
      </c>
      <c r="E57" s="203">
        <v>248626</v>
      </c>
      <c r="F57" s="204">
        <f>ROUND((E57*(1+'Løntabel gældende fra'!$D$7%)),0)</f>
        <v>281968</v>
      </c>
      <c r="G57" s="202">
        <v>252252</v>
      </c>
      <c r="H57" s="195">
        <f>ROUND((G57*(1+'Løntabel gældende fra'!$D$7%)),0)</f>
        <v>286080</v>
      </c>
      <c r="I57" s="203">
        <v>257490</v>
      </c>
      <c r="J57" s="204">
        <f>ROUND((I57*(1+'Løntabel gældende fra'!$D$7%)),0)</f>
        <v>292020</v>
      </c>
      <c r="K57" s="202">
        <v>261115</v>
      </c>
      <c r="L57" s="195">
        <f>ROUND((K57*(1+'Løntabel gældende fra'!$D$7%)),0)</f>
        <v>296132</v>
      </c>
      <c r="M57" s="421"/>
      <c r="N57" s="399">
        <v>228579.5</v>
      </c>
      <c r="O57" s="209">
        <f>ROUND(N57*(1+'Løntabel gældende fra'!$D$7%),2)</f>
        <v>259232.93</v>
      </c>
    </row>
    <row r="58" spans="1:15">
      <c r="A58" s="2165"/>
      <c r="B58" s="403" t="s">
        <v>97</v>
      </c>
      <c r="C58" s="408"/>
      <c r="D58" s="415">
        <f>ROUND(D57/12,2)</f>
        <v>23002.17</v>
      </c>
      <c r="E58" s="412">
        <f>E57/12</f>
        <v>20718.833333333332</v>
      </c>
      <c r="F58" s="397">
        <f>ROUND(F57/12,2)</f>
        <v>23497.33</v>
      </c>
      <c r="G58" s="408">
        <f>G57/12</f>
        <v>21021</v>
      </c>
      <c r="H58" s="415">
        <f>ROUND(H57/12,2)</f>
        <v>23840</v>
      </c>
      <c r="I58" s="412">
        <f>I57/12</f>
        <v>21457.5</v>
      </c>
      <c r="J58" s="397">
        <f>ROUND(J57/12,2)</f>
        <v>24335</v>
      </c>
      <c r="K58" s="408">
        <f>K57/12</f>
        <v>21759.583333333332</v>
      </c>
      <c r="L58" s="415">
        <f>ROUND(L57/12,2)</f>
        <v>24677.67</v>
      </c>
      <c r="M58" s="420"/>
      <c r="N58" s="398"/>
      <c r="O58" s="400">
        <f>ROUND(O57/12,2)</f>
        <v>21602.74</v>
      </c>
    </row>
    <row r="59" spans="1:15" ht="16" thickBot="1">
      <c r="A59" s="2166"/>
      <c r="B59" s="380" t="s">
        <v>226</v>
      </c>
      <c r="C59" s="199">
        <f>C57/12</f>
        <v>20282.25</v>
      </c>
      <c r="D59" s="200">
        <f>ROUND(D58/160.33,2)</f>
        <v>143.47</v>
      </c>
      <c r="E59" s="413"/>
      <c r="F59" s="200">
        <f t="shared" ref="F59:O59" si="18">ROUND(F58/160.33,2)</f>
        <v>146.56</v>
      </c>
      <c r="G59" s="200">
        <f t="shared" si="18"/>
        <v>131.11000000000001</v>
      </c>
      <c r="H59" s="200">
        <f t="shared" si="18"/>
        <v>148.69</v>
      </c>
      <c r="I59" s="200">
        <f t="shared" si="18"/>
        <v>133.83000000000001</v>
      </c>
      <c r="J59" s="200">
        <f t="shared" si="18"/>
        <v>151.78</v>
      </c>
      <c r="K59" s="200">
        <f t="shared" si="18"/>
        <v>135.72</v>
      </c>
      <c r="L59" s="200">
        <f t="shared" si="18"/>
        <v>153.91999999999999</v>
      </c>
      <c r="M59" s="200">
        <f t="shared" si="18"/>
        <v>0</v>
      </c>
      <c r="N59" s="200">
        <f t="shared" si="18"/>
        <v>0</v>
      </c>
      <c r="O59" s="200">
        <f t="shared" si="18"/>
        <v>134.74</v>
      </c>
    </row>
    <row r="60" spans="1:15">
      <c r="A60" s="2164">
        <v>19</v>
      </c>
      <c r="B60" s="193" t="s">
        <v>96</v>
      </c>
      <c r="C60" s="194">
        <v>246657</v>
      </c>
      <c r="D60" s="198">
        <f>ROUND((C60*(1+'Løntabel gældende fra'!$D$7%)),0)</f>
        <v>279735</v>
      </c>
      <c r="E60" s="196">
        <v>252029</v>
      </c>
      <c r="F60" s="197">
        <f>ROUND((E60*(1+'Løntabel gældende fra'!$D$7%)),0)</f>
        <v>285827</v>
      </c>
      <c r="G60" s="194">
        <v>255746</v>
      </c>
      <c r="H60" s="198">
        <f>ROUND((G60*(1+'Løntabel gældende fra'!$D$7%)),0)</f>
        <v>290043</v>
      </c>
      <c r="I60" s="196">
        <v>261119</v>
      </c>
      <c r="J60" s="197">
        <f>ROUND((I60*(1+'Løntabel gældende fra'!$D$7%)),0)</f>
        <v>296136</v>
      </c>
      <c r="K60" s="194">
        <v>264839</v>
      </c>
      <c r="L60" s="198">
        <f>ROUND((K60*(1+'Løntabel gældende fra'!$D$7%)),0)</f>
        <v>300355</v>
      </c>
      <c r="M60" s="422"/>
      <c r="N60" s="401">
        <v>232796.81</v>
      </c>
      <c r="O60" s="402">
        <f>ROUND(N60*(1+'Løntabel gældende fra'!$D$7%),2)</f>
        <v>264015.78999999998</v>
      </c>
    </row>
    <row r="61" spans="1:15">
      <c r="A61" s="2165"/>
      <c r="B61" s="403" t="s">
        <v>231</v>
      </c>
      <c r="C61" s="408"/>
      <c r="D61" s="415">
        <f>ROUND(D60/12,2)</f>
        <v>23311.25</v>
      </c>
      <c r="E61" s="412">
        <f>E60/12</f>
        <v>21002.416666666668</v>
      </c>
      <c r="F61" s="397">
        <f>ROUND(F60/12,2)</f>
        <v>23818.92</v>
      </c>
      <c r="G61" s="408">
        <f>G60/12</f>
        <v>21312.166666666668</v>
      </c>
      <c r="H61" s="415">
        <f>ROUND(H60/12,2)</f>
        <v>24170.25</v>
      </c>
      <c r="I61" s="412">
        <f>I60/12</f>
        <v>21759.916666666668</v>
      </c>
      <c r="J61" s="397">
        <f>ROUND(J60/12,2)</f>
        <v>24678</v>
      </c>
      <c r="K61" s="408">
        <f>K60/12</f>
        <v>22069.916666666668</v>
      </c>
      <c r="L61" s="415">
        <f>ROUND(L60/12,2)</f>
        <v>25029.58</v>
      </c>
      <c r="M61" s="420"/>
      <c r="N61" s="398"/>
      <c r="O61" s="400">
        <f>ROUND(O60/12,2)</f>
        <v>22001.32</v>
      </c>
    </row>
    <row r="62" spans="1:15" ht="16" thickBot="1">
      <c r="A62" s="2168"/>
      <c r="B62" s="404" t="s">
        <v>226</v>
      </c>
      <c r="C62" s="411">
        <f>C60/12</f>
        <v>20554.75</v>
      </c>
      <c r="D62" s="200">
        <f>ROUND(D61/160.33,2)</f>
        <v>145.4</v>
      </c>
      <c r="E62" s="414"/>
      <c r="F62" s="200">
        <f t="shared" ref="F62:O62" si="19">ROUND(F61/160.33,2)</f>
        <v>148.56</v>
      </c>
      <c r="G62" s="200">
        <f t="shared" si="19"/>
        <v>132.93</v>
      </c>
      <c r="H62" s="200">
        <f t="shared" si="19"/>
        <v>150.75</v>
      </c>
      <c r="I62" s="200">
        <f t="shared" si="19"/>
        <v>135.72</v>
      </c>
      <c r="J62" s="200">
        <f t="shared" si="19"/>
        <v>153.91999999999999</v>
      </c>
      <c r="K62" s="200">
        <f t="shared" si="19"/>
        <v>137.65</v>
      </c>
      <c r="L62" s="200">
        <f t="shared" si="19"/>
        <v>156.11000000000001</v>
      </c>
      <c r="M62" s="200">
        <f t="shared" si="19"/>
        <v>0</v>
      </c>
      <c r="N62" s="200">
        <f t="shared" si="19"/>
        <v>0</v>
      </c>
      <c r="O62" s="200">
        <f t="shared" si="19"/>
        <v>137.22999999999999</v>
      </c>
    </row>
    <row r="63" spans="1:15">
      <c r="A63" s="2167">
        <v>20</v>
      </c>
      <c r="B63" s="378" t="s">
        <v>96</v>
      </c>
      <c r="C63" s="202">
        <v>250053</v>
      </c>
      <c r="D63" s="195">
        <f>ROUND((C63*(1+'Løntabel gældende fra'!$D$7%)),0)</f>
        <v>283586</v>
      </c>
      <c r="E63" s="203">
        <v>255560</v>
      </c>
      <c r="F63" s="204">
        <f>ROUND((E63*(1+'Løntabel gældende fra'!$D$7%)),0)</f>
        <v>289832</v>
      </c>
      <c r="G63" s="202">
        <v>259374</v>
      </c>
      <c r="H63" s="195">
        <f>ROUND((G63*(1+'Løntabel gældende fra'!$D$7%)),0)</f>
        <v>294157</v>
      </c>
      <c r="I63" s="203">
        <v>264882</v>
      </c>
      <c r="J63" s="204">
        <f>ROUND((I63*(1+'Løntabel gældende fra'!$D$7%)),0)</f>
        <v>300404</v>
      </c>
      <c r="K63" s="202">
        <v>268694</v>
      </c>
      <c r="L63" s="195">
        <f>ROUND((K63*(1+'Løntabel gældende fra'!$D$7%)),0)</f>
        <v>304727</v>
      </c>
      <c r="M63" s="421"/>
      <c r="N63" s="399">
        <v>237129.61</v>
      </c>
      <c r="O63" s="209">
        <f>ROUND(N63*(1+'Løntabel gældende fra'!$D$7%),2)</f>
        <v>268929.64</v>
      </c>
    </row>
    <row r="64" spans="1:15">
      <c r="A64" s="2165"/>
      <c r="B64" s="403" t="s">
        <v>97</v>
      </c>
      <c r="C64" s="408"/>
      <c r="D64" s="415">
        <f>ROUND(D63/12,2)</f>
        <v>23632.17</v>
      </c>
      <c r="E64" s="412">
        <f>E63/12</f>
        <v>21296.666666666668</v>
      </c>
      <c r="F64" s="397">
        <f>ROUND(F63/12,2)</f>
        <v>24152.67</v>
      </c>
      <c r="G64" s="408">
        <f>G63/12</f>
        <v>21614.5</v>
      </c>
      <c r="H64" s="415">
        <f>ROUND(H63/12,2)</f>
        <v>24513.08</v>
      </c>
      <c r="I64" s="412">
        <f>I63/12</f>
        <v>22073.5</v>
      </c>
      <c r="J64" s="397">
        <f>ROUND(J63/12,2)</f>
        <v>25033.67</v>
      </c>
      <c r="K64" s="408">
        <f>K63/12</f>
        <v>22391.166666666668</v>
      </c>
      <c r="L64" s="415">
        <f>ROUND(L63/12,2)</f>
        <v>25393.919999999998</v>
      </c>
      <c r="M64" s="420"/>
      <c r="N64" s="398"/>
      <c r="O64" s="400">
        <f>ROUND(O63/12,2)</f>
        <v>22410.799999999999</v>
      </c>
    </row>
    <row r="65" spans="1:15" ht="16" thickBot="1">
      <c r="A65" s="2166"/>
      <c r="B65" s="380" t="s">
        <v>226</v>
      </c>
      <c r="C65" s="199">
        <f>C63/12</f>
        <v>20837.75</v>
      </c>
      <c r="D65" s="200">
        <f>ROUND(D64/160.33,2)</f>
        <v>147.4</v>
      </c>
      <c r="E65" s="413"/>
      <c r="F65" s="200">
        <f t="shared" ref="F65:O65" si="20">ROUND(F64/160.33,2)</f>
        <v>150.63999999999999</v>
      </c>
      <c r="G65" s="200">
        <f t="shared" si="20"/>
        <v>134.81</v>
      </c>
      <c r="H65" s="200">
        <f t="shared" si="20"/>
        <v>152.88999999999999</v>
      </c>
      <c r="I65" s="200">
        <f t="shared" si="20"/>
        <v>137.68</v>
      </c>
      <c r="J65" s="200">
        <f t="shared" si="20"/>
        <v>156.13999999999999</v>
      </c>
      <c r="K65" s="200">
        <f t="shared" si="20"/>
        <v>139.66</v>
      </c>
      <c r="L65" s="200">
        <f t="shared" si="20"/>
        <v>158.38999999999999</v>
      </c>
      <c r="M65" s="200">
        <f t="shared" si="20"/>
        <v>0</v>
      </c>
      <c r="N65" s="200">
        <f t="shared" si="20"/>
        <v>0</v>
      </c>
      <c r="O65" s="200">
        <f t="shared" si="20"/>
        <v>139.78</v>
      </c>
    </row>
    <row r="66" spans="1:15">
      <c r="A66" s="2164">
        <v>21</v>
      </c>
      <c r="B66" s="193" t="s">
        <v>96</v>
      </c>
      <c r="C66" s="194">
        <v>254192</v>
      </c>
      <c r="D66" s="198">
        <f>ROUND((C66*(1+'Løntabel gældende fra'!$D$7%)),0)</f>
        <v>288280</v>
      </c>
      <c r="E66" s="196">
        <v>259841</v>
      </c>
      <c r="F66" s="197">
        <f>ROUND((E66*(1+'Løntabel gældende fra'!$D$7%)),0)</f>
        <v>294687</v>
      </c>
      <c r="G66" s="194">
        <v>263752</v>
      </c>
      <c r="H66" s="198">
        <f>ROUND((G66*(1+'Løntabel gældende fra'!$D$7%)),0)</f>
        <v>299122</v>
      </c>
      <c r="I66" s="196">
        <v>269401</v>
      </c>
      <c r="J66" s="197">
        <f>ROUND((I66*(1+'Løntabel gældende fra'!$D$7%)),0)</f>
        <v>305529</v>
      </c>
      <c r="K66" s="194">
        <v>273312</v>
      </c>
      <c r="L66" s="198">
        <f>ROUND((K66*(1+'Løntabel gældende fra'!$D$7%)),0)</f>
        <v>309964</v>
      </c>
      <c r="M66" s="422"/>
      <c r="N66" s="401">
        <v>241583.32</v>
      </c>
      <c r="O66" s="402">
        <f>ROUND(N66*(1+'Løntabel gældende fra'!$D$7%),2)</f>
        <v>273980.61</v>
      </c>
    </row>
    <row r="67" spans="1:15">
      <c r="A67" s="2165"/>
      <c r="B67" s="403" t="s">
        <v>231</v>
      </c>
      <c r="C67" s="408"/>
      <c r="D67" s="415">
        <f>ROUND(D66/12,2)</f>
        <v>24023.33</v>
      </c>
      <c r="E67" s="412">
        <f>E66/12</f>
        <v>21653.416666666668</v>
      </c>
      <c r="F67" s="397">
        <f>ROUND(F66/12,2)</f>
        <v>24557.25</v>
      </c>
      <c r="G67" s="408">
        <f>G66/12</f>
        <v>21979.333333333332</v>
      </c>
      <c r="H67" s="415">
        <f>ROUND(H66/12,2)</f>
        <v>24926.83</v>
      </c>
      <c r="I67" s="412">
        <f>I66/12</f>
        <v>22450.083333333332</v>
      </c>
      <c r="J67" s="397">
        <f>ROUND(J66/12,2)</f>
        <v>25460.75</v>
      </c>
      <c r="K67" s="408">
        <f>K66/12</f>
        <v>22776</v>
      </c>
      <c r="L67" s="415">
        <f>ROUND(L66/12,2)</f>
        <v>25830.33</v>
      </c>
      <c r="M67" s="420"/>
      <c r="N67" s="398"/>
      <c r="O67" s="400">
        <f>ROUND(O66/12,2)</f>
        <v>22831.72</v>
      </c>
    </row>
    <row r="68" spans="1:15" ht="16" thickBot="1">
      <c r="A68" s="2168"/>
      <c r="B68" s="404" t="s">
        <v>226</v>
      </c>
      <c r="C68" s="411">
        <f>C66/12</f>
        <v>21182.666666666668</v>
      </c>
      <c r="D68" s="200">
        <f>ROUND(D67/160.33,2)</f>
        <v>149.84</v>
      </c>
      <c r="E68" s="414"/>
      <c r="F68" s="200">
        <f t="shared" ref="F68:O68" si="21">ROUND(F67/160.33,2)</f>
        <v>153.16999999999999</v>
      </c>
      <c r="G68" s="200">
        <f t="shared" si="21"/>
        <v>137.09</v>
      </c>
      <c r="H68" s="200">
        <f t="shared" si="21"/>
        <v>155.47</v>
      </c>
      <c r="I68" s="200">
        <f t="shared" si="21"/>
        <v>140.02000000000001</v>
      </c>
      <c r="J68" s="200">
        <f t="shared" si="21"/>
        <v>158.80000000000001</v>
      </c>
      <c r="K68" s="200">
        <f t="shared" si="21"/>
        <v>142.06</v>
      </c>
      <c r="L68" s="200">
        <f t="shared" si="21"/>
        <v>161.11000000000001</v>
      </c>
      <c r="M68" s="200">
        <f t="shared" si="21"/>
        <v>0</v>
      </c>
      <c r="N68" s="200">
        <f t="shared" si="21"/>
        <v>0</v>
      </c>
      <c r="O68" s="200">
        <f t="shared" si="21"/>
        <v>142.4</v>
      </c>
    </row>
    <row r="69" spans="1:15">
      <c r="A69" s="2167">
        <v>22</v>
      </c>
      <c r="B69" s="206" t="s">
        <v>96</v>
      </c>
      <c r="C69" s="202">
        <v>258027</v>
      </c>
      <c r="D69" s="195">
        <f>ROUND((C69*(1+'Løntabel gældende fra'!$D$7%)),0)</f>
        <v>292629</v>
      </c>
      <c r="E69" s="203">
        <v>263676</v>
      </c>
      <c r="F69" s="204">
        <f>ROUND((E69*(1+'Løntabel gældende fra'!$D$7%)),0)</f>
        <v>299036</v>
      </c>
      <c r="G69" s="202">
        <v>267587</v>
      </c>
      <c r="H69" s="195">
        <f>ROUND((G69*(1+'Løntabel gældende fra'!$D$7%)),0)</f>
        <v>303471</v>
      </c>
      <c r="I69" s="203">
        <v>273236</v>
      </c>
      <c r="J69" s="204">
        <f>ROUND((I69*(1+'Løntabel gældende fra'!$D$7%)),0)</f>
        <v>309878</v>
      </c>
      <c r="K69" s="202">
        <v>277147</v>
      </c>
      <c r="L69" s="195">
        <f>ROUND((K69*(1+'Løntabel gældende fra'!$D$7%)),0)</f>
        <v>314314</v>
      </c>
      <c r="M69" s="421"/>
      <c r="N69" s="399">
        <v>246033.33</v>
      </c>
      <c r="O69" s="209">
        <f>ROUND(N69*(1+'Løntabel gældende fra'!$D$7%),2)</f>
        <v>279027.38</v>
      </c>
    </row>
    <row r="70" spans="1:15">
      <c r="A70" s="2165"/>
      <c r="B70" s="405" t="s">
        <v>231</v>
      </c>
      <c r="C70" s="408"/>
      <c r="D70" s="415">
        <f>ROUND(D69/12,2)</f>
        <v>24385.75</v>
      </c>
      <c r="E70" s="412">
        <f>E69/12</f>
        <v>21973</v>
      </c>
      <c r="F70" s="397">
        <f>ROUND(F69/12,2)</f>
        <v>24919.67</v>
      </c>
      <c r="G70" s="408">
        <f>G69/12</f>
        <v>22298.916666666668</v>
      </c>
      <c r="H70" s="415">
        <f>ROUND(H69/12,2)</f>
        <v>25289.25</v>
      </c>
      <c r="I70" s="412">
        <f>I69/12</f>
        <v>22769.666666666668</v>
      </c>
      <c r="J70" s="397">
        <f>ROUND(J69/12,2)</f>
        <v>25823.17</v>
      </c>
      <c r="K70" s="408">
        <f>K69/12</f>
        <v>23095.583333333332</v>
      </c>
      <c r="L70" s="415">
        <f>ROUND(L69/12,2)</f>
        <v>26192.83</v>
      </c>
      <c r="M70" s="420"/>
      <c r="N70" s="398"/>
      <c r="O70" s="400">
        <f>ROUND(O69/12,2)</f>
        <v>23252.28</v>
      </c>
    </row>
    <row r="71" spans="1:15" ht="16" thickBot="1">
      <c r="A71" s="2166"/>
      <c r="B71" s="406" t="s">
        <v>226</v>
      </c>
      <c r="C71" s="199">
        <v>262137</v>
      </c>
      <c r="D71" s="200">
        <f>ROUND(D70/160.33,2)</f>
        <v>152.1</v>
      </c>
      <c r="E71" s="413"/>
      <c r="F71" s="200">
        <f t="shared" ref="F71:O71" si="22">ROUND(F70/160.33,2)</f>
        <v>155.43</v>
      </c>
      <c r="G71" s="200">
        <f t="shared" si="22"/>
        <v>139.08000000000001</v>
      </c>
      <c r="H71" s="200">
        <f t="shared" si="22"/>
        <v>157.72999999999999</v>
      </c>
      <c r="I71" s="200">
        <f t="shared" si="22"/>
        <v>142.02000000000001</v>
      </c>
      <c r="J71" s="200">
        <f t="shared" si="22"/>
        <v>161.06</v>
      </c>
      <c r="K71" s="200">
        <f t="shared" si="22"/>
        <v>144.05000000000001</v>
      </c>
      <c r="L71" s="200">
        <f t="shared" si="22"/>
        <v>163.37</v>
      </c>
      <c r="M71" s="200">
        <f t="shared" si="22"/>
        <v>0</v>
      </c>
      <c r="N71" s="200">
        <f t="shared" si="22"/>
        <v>0</v>
      </c>
      <c r="O71" s="200">
        <f t="shared" si="22"/>
        <v>145.03</v>
      </c>
    </row>
    <row r="72" spans="1:15">
      <c r="A72" s="2164">
        <v>23</v>
      </c>
      <c r="B72" s="205" t="s">
        <v>96</v>
      </c>
      <c r="C72" s="194">
        <v>262137</v>
      </c>
      <c r="D72" s="198">
        <f>ROUND((C72*(1+'Løntabel gældende fra'!$D$7%)),0)</f>
        <v>297291</v>
      </c>
      <c r="E72" s="196">
        <v>267629</v>
      </c>
      <c r="F72" s="197">
        <f>ROUND((E72*(1+'Løntabel gældende fra'!$D$7%)),0)</f>
        <v>303519</v>
      </c>
      <c r="G72" s="194">
        <v>271434</v>
      </c>
      <c r="H72" s="198">
        <f>ROUND((G72*(1+'Løntabel gældende fra'!$D$7%)),0)</f>
        <v>307834</v>
      </c>
      <c r="I72" s="196">
        <v>276928</v>
      </c>
      <c r="J72" s="197">
        <f>ROUND((I72*(1+'Løntabel gældende fra'!$D$7%)),0)</f>
        <v>314065</v>
      </c>
      <c r="K72" s="194">
        <v>280730</v>
      </c>
      <c r="L72" s="198">
        <f>ROUND((K72*(1+'Løntabel gældende fra'!$D$7%)),0)</f>
        <v>318377</v>
      </c>
      <c r="M72" s="422"/>
      <c r="N72" s="401">
        <v>250472.55</v>
      </c>
      <c r="O72" s="402">
        <f>ROUND(N72*(1+'Løntabel gældende fra'!$D$7%),2)</f>
        <v>284061.92</v>
      </c>
    </row>
    <row r="73" spans="1:15">
      <c r="A73" s="2165"/>
      <c r="B73" s="405" t="s">
        <v>231</v>
      </c>
      <c r="C73" s="408"/>
      <c r="D73" s="415">
        <f>ROUND(D72/12,2)</f>
        <v>24774.25</v>
      </c>
      <c r="E73" s="412">
        <f>E72/12</f>
        <v>22302.416666666668</v>
      </c>
      <c r="F73" s="397">
        <f>ROUND(F72/12,2)</f>
        <v>25293.25</v>
      </c>
      <c r="G73" s="408">
        <f>G72/12</f>
        <v>22619.5</v>
      </c>
      <c r="H73" s="415">
        <f>ROUND(H72/12,2)</f>
        <v>25652.83</v>
      </c>
      <c r="I73" s="412">
        <f>I72/12</f>
        <v>23077.333333333332</v>
      </c>
      <c r="J73" s="397">
        <f>ROUND(J72/12,2)</f>
        <v>26172.080000000002</v>
      </c>
      <c r="K73" s="408">
        <f>K72/12</f>
        <v>23394.166666666668</v>
      </c>
      <c r="L73" s="415">
        <f>ROUND(L72/12,2)</f>
        <v>26531.42</v>
      </c>
      <c r="M73" s="420"/>
      <c r="N73" s="398"/>
      <c r="O73" s="400">
        <f>ROUND(O72/12,2)</f>
        <v>23671.83</v>
      </c>
    </row>
    <row r="74" spans="1:15" ht="16" thickBot="1">
      <c r="A74" s="2168"/>
      <c r="B74" s="407" t="s">
        <v>226</v>
      </c>
      <c r="C74" s="411">
        <f>C72/12</f>
        <v>21844.75</v>
      </c>
      <c r="D74" s="200">
        <f>ROUND(D73/160.33,2)</f>
        <v>154.52000000000001</v>
      </c>
      <c r="E74" s="414"/>
      <c r="F74" s="200">
        <f t="shared" ref="F74:O74" si="23">ROUND(F73/160.33,2)</f>
        <v>157.76</v>
      </c>
      <c r="G74" s="200">
        <f t="shared" si="23"/>
        <v>141.08000000000001</v>
      </c>
      <c r="H74" s="200">
        <f t="shared" si="23"/>
        <v>160</v>
      </c>
      <c r="I74" s="200">
        <f t="shared" si="23"/>
        <v>143.94</v>
      </c>
      <c r="J74" s="200">
        <f t="shared" si="23"/>
        <v>163.24</v>
      </c>
      <c r="K74" s="200">
        <f t="shared" si="23"/>
        <v>145.91</v>
      </c>
      <c r="L74" s="200">
        <f t="shared" si="23"/>
        <v>165.48</v>
      </c>
      <c r="M74" s="200">
        <f t="shared" si="23"/>
        <v>0</v>
      </c>
      <c r="N74" s="200">
        <f t="shared" si="23"/>
        <v>0</v>
      </c>
      <c r="O74" s="200">
        <f t="shared" si="23"/>
        <v>147.63999999999999</v>
      </c>
    </row>
    <row r="75" spans="1:15">
      <c r="A75" s="2167">
        <v>24</v>
      </c>
      <c r="B75" s="206" t="s">
        <v>96</v>
      </c>
      <c r="C75" s="202">
        <v>266372</v>
      </c>
      <c r="D75" s="195">
        <f>ROUND((C75*(1+'Løntabel gældende fra'!$D$7%)),0)</f>
        <v>302094</v>
      </c>
      <c r="E75" s="203">
        <v>271710</v>
      </c>
      <c r="F75" s="204">
        <f>ROUND((E75*(1+'Løntabel gældende fra'!$D$7%)),0)</f>
        <v>308147</v>
      </c>
      <c r="G75" s="202">
        <v>275406</v>
      </c>
      <c r="H75" s="195">
        <f>ROUND((G75*(1+'Løntabel gældende fra'!$D$7%)),0)</f>
        <v>312339</v>
      </c>
      <c r="I75" s="203">
        <v>280745</v>
      </c>
      <c r="J75" s="204">
        <f>ROUND((I75*(1+'Løntabel gældende fra'!$D$7%)),0)</f>
        <v>318394</v>
      </c>
      <c r="K75" s="202">
        <v>284441</v>
      </c>
      <c r="L75" s="195">
        <f>ROUND((K75*(1+'Løntabel gældende fra'!$D$7%)),0)</f>
        <v>322586</v>
      </c>
      <c r="M75" s="421"/>
      <c r="N75" s="399">
        <v>255037.97</v>
      </c>
      <c r="O75" s="209">
        <f>ROUND(N75*(1+'Løntabel gældende fra'!$D$7%),2)</f>
        <v>289239.58</v>
      </c>
    </row>
    <row r="76" spans="1:15">
      <c r="A76" s="2165"/>
      <c r="B76" s="405" t="s">
        <v>231</v>
      </c>
      <c r="C76" s="408"/>
      <c r="D76" s="415">
        <f>ROUND(D75/12,2)</f>
        <v>25174.5</v>
      </c>
      <c r="E76" s="412">
        <f>E75/12</f>
        <v>22642.5</v>
      </c>
      <c r="F76" s="397">
        <f>ROUND(F75/12,2)</f>
        <v>25678.92</v>
      </c>
      <c r="G76" s="408">
        <f>G75/12</f>
        <v>22950.5</v>
      </c>
      <c r="H76" s="415">
        <f>ROUND(H75/12,2)</f>
        <v>26028.25</v>
      </c>
      <c r="I76" s="412">
        <f>I75/12</f>
        <v>23395.416666666668</v>
      </c>
      <c r="J76" s="397">
        <f>ROUND(J75/12,2)</f>
        <v>26532.83</v>
      </c>
      <c r="K76" s="408">
        <f>K75/12</f>
        <v>23703.416666666668</v>
      </c>
      <c r="L76" s="415">
        <f>ROUND(L75/12,2)</f>
        <v>26882.17</v>
      </c>
      <c r="M76" s="420"/>
      <c r="N76" s="398"/>
      <c r="O76" s="400">
        <f>ROUND(O75/12,2)</f>
        <v>24103.3</v>
      </c>
    </row>
    <row r="77" spans="1:15" ht="16" thickBot="1">
      <c r="A77" s="2166"/>
      <c r="B77" s="406" t="s">
        <v>226</v>
      </c>
      <c r="C77" s="199">
        <f>C75/12</f>
        <v>22197.666666666668</v>
      </c>
      <c r="D77" s="200">
        <f>ROUND(D76/160.33,2)</f>
        <v>157.02000000000001</v>
      </c>
      <c r="E77" s="413"/>
      <c r="F77" s="200">
        <f t="shared" ref="F77:O77" si="24">ROUND(F76/160.33,2)</f>
        <v>160.16</v>
      </c>
      <c r="G77" s="200">
        <f t="shared" si="24"/>
        <v>143.15</v>
      </c>
      <c r="H77" s="200">
        <f t="shared" si="24"/>
        <v>162.34</v>
      </c>
      <c r="I77" s="200">
        <f t="shared" si="24"/>
        <v>145.91999999999999</v>
      </c>
      <c r="J77" s="200">
        <f t="shared" si="24"/>
        <v>165.49</v>
      </c>
      <c r="K77" s="200">
        <f t="shared" si="24"/>
        <v>147.84</v>
      </c>
      <c r="L77" s="200">
        <f t="shared" si="24"/>
        <v>167.67</v>
      </c>
      <c r="M77" s="200">
        <f t="shared" si="24"/>
        <v>0</v>
      </c>
      <c r="N77" s="200">
        <f t="shared" si="24"/>
        <v>0</v>
      </c>
      <c r="O77" s="200">
        <f t="shared" si="24"/>
        <v>150.34</v>
      </c>
    </row>
    <row r="78" spans="1:15">
      <c r="A78" s="2164">
        <v>25</v>
      </c>
      <c r="B78" s="205" t="s">
        <v>96</v>
      </c>
      <c r="C78" s="194">
        <v>270701</v>
      </c>
      <c r="D78" s="198">
        <f>ROUND((C78*(1+'Løntabel gældende fra'!$D$7%)),0)</f>
        <v>307003</v>
      </c>
      <c r="E78" s="196">
        <v>275873</v>
      </c>
      <c r="F78" s="197">
        <f>ROUND((E78*(1+'Løntabel gældende fra'!$D$7%)),0)</f>
        <v>312869</v>
      </c>
      <c r="G78" s="194">
        <v>279454</v>
      </c>
      <c r="H78" s="198">
        <f>ROUND((G78*(1+'Løntabel gældende fra'!$D$7%)),0)</f>
        <v>316930</v>
      </c>
      <c r="I78" s="196">
        <v>284626</v>
      </c>
      <c r="J78" s="197">
        <f>ROUND((I78*(1+'Løntabel gældende fra'!$D$7%)),0)</f>
        <v>322795</v>
      </c>
      <c r="K78" s="194">
        <v>288206</v>
      </c>
      <c r="L78" s="198">
        <f>ROUND((K78*(1+'Løntabel gældende fra'!$D$7%)),0)</f>
        <v>326856</v>
      </c>
      <c r="M78" s="422"/>
      <c r="N78" s="401">
        <v>259721.7</v>
      </c>
      <c r="O78" s="402">
        <f>ROUND(N78*(1+'Løntabel gældende fra'!$D$7%),2)</f>
        <v>294551.42</v>
      </c>
    </row>
    <row r="79" spans="1:15">
      <c r="A79" s="2165"/>
      <c r="B79" s="405" t="s">
        <v>231</v>
      </c>
      <c r="C79" s="408"/>
      <c r="D79" s="415">
        <f>ROUND(D78/12,2)</f>
        <v>25583.58</v>
      </c>
      <c r="E79" s="412">
        <f>E78/12</f>
        <v>22989.416666666668</v>
      </c>
      <c r="F79" s="397">
        <f>ROUND(F78/12,2)</f>
        <v>26072.42</v>
      </c>
      <c r="G79" s="408">
        <f>G78/12</f>
        <v>23287.833333333332</v>
      </c>
      <c r="H79" s="415">
        <f>ROUND(H78/12,2)</f>
        <v>26410.83</v>
      </c>
      <c r="I79" s="412">
        <f>I78/12</f>
        <v>23718.833333333332</v>
      </c>
      <c r="J79" s="397">
        <f>ROUND(J78/12,2)</f>
        <v>26899.58</v>
      </c>
      <c r="K79" s="408">
        <f>K78/12</f>
        <v>24017.166666666668</v>
      </c>
      <c r="L79" s="415">
        <f>ROUND(L78/12,2)</f>
        <v>27238</v>
      </c>
      <c r="M79" s="420"/>
      <c r="N79" s="398"/>
      <c r="O79" s="400">
        <f>ROUND(O78/12,2)</f>
        <v>24545.95</v>
      </c>
    </row>
    <row r="80" spans="1:15" ht="16" thickBot="1">
      <c r="A80" s="2168"/>
      <c r="B80" s="407" t="s">
        <v>226</v>
      </c>
      <c r="C80" s="411">
        <f>C78/12</f>
        <v>22558.416666666668</v>
      </c>
      <c r="D80" s="200">
        <f>ROUND(D79/160.33,2)</f>
        <v>159.57</v>
      </c>
      <c r="E80" s="414"/>
      <c r="F80" s="200">
        <f t="shared" ref="F80:O80" si="25">ROUND(F79/160.33,2)</f>
        <v>162.62</v>
      </c>
      <c r="G80" s="200">
        <f t="shared" si="25"/>
        <v>145.25</v>
      </c>
      <c r="H80" s="200">
        <f t="shared" si="25"/>
        <v>164.73</v>
      </c>
      <c r="I80" s="200">
        <f t="shared" si="25"/>
        <v>147.94</v>
      </c>
      <c r="J80" s="200">
        <f t="shared" si="25"/>
        <v>167.78</v>
      </c>
      <c r="K80" s="200">
        <f t="shared" si="25"/>
        <v>149.80000000000001</v>
      </c>
      <c r="L80" s="200">
        <f t="shared" si="25"/>
        <v>169.89</v>
      </c>
      <c r="M80" s="200">
        <f t="shared" si="25"/>
        <v>0</v>
      </c>
      <c r="N80" s="200">
        <f t="shared" si="25"/>
        <v>0</v>
      </c>
      <c r="O80" s="200">
        <f t="shared" si="25"/>
        <v>153.1</v>
      </c>
    </row>
    <row r="81" spans="1:15">
      <c r="A81" s="2167">
        <v>26</v>
      </c>
      <c r="B81" s="206" t="s">
        <v>96</v>
      </c>
      <c r="C81" s="202">
        <v>275131</v>
      </c>
      <c r="D81" s="195">
        <f>ROUND((C81*(1+'Løntabel gældende fra'!$D$7%)),0)</f>
        <v>312027</v>
      </c>
      <c r="E81" s="203">
        <v>280123</v>
      </c>
      <c r="F81" s="204">
        <f>ROUND((E81*(1+'Løntabel gældende fra'!$D$7%)),0)</f>
        <v>317689</v>
      </c>
      <c r="G81" s="202">
        <v>283580</v>
      </c>
      <c r="H81" s="195">
        <f>ROUND((G81*(1+'Løntabel gældende fra'!$D$7%)),0)</f>
        <v>321609</v>
      </c>
      <c r="I81" s="203">
        <v>288573</v>
      </c>
      <c r="J81" s="204">
        <f>ROUND((I81*(1+'Løntabel gældende fra'!$D$7%)),0)</f>
        <v>327272</v>
      </c>
      <c r="K81" s="202">
        <v>292029</v>
      </c>
      <c r="L81" s="195">
        <f>ROUND((K81*(1+'Løntabel gældende fra'!$D$7%)),0)</f>
        <v>331191</v>
      </c>
      <c r="M81" s="421"/>
      <c r="N81" s="399">
        <v>264528.59000000003</v>
      </c>
      <c r="O81" s="209">
        <f>ROUND(N81*(1+'Løntabel gældende fra'!$D$7%),2)</f>
        <v>300002.93</v>
      </c>
    </row>
    <row r="82" spans="1:15">
      <c r="A82" s="2165"/>
      <c r="B82" s="405" t="s">
        <v>231</v>
      </c>
      <c r="C82" s="408"/>
      <c r="D82" s="415">
        <f>ROUND(D81/12,2)</f>
        <v>26002.25</v>
      </c>
      <c r="E82" s="412">
        <f>E81/12</f>
        <v>23343.583333333332</v>
      </c>
      <c r="F82" s="397">
        <f>ROUND(F81/12,2)</f>
        <v>26474.080000000002</v>
      </c>
      <c r="G82" s="408">
        <f>G81/12</f>
        <v>23631.666666666668</v>
      </c>
      <c r="H82" s="415">
        <f>ROUND(H81/12,2)</f>
        <v>26800.75</v>
      </c>
      <c r="I82" s="412">
        <f>I81/12</f>
        <v>24047.75</v>
      </c>
      <c r="J82" s="397">
        <f>ROUND(J81/12,2)</f>
        <v>27272.67</v>
      </c>
      <c r="K82" s="408">
        <f>K81/12</f>
        <v>24335.75</v>
      </c>
      <c r="L82" s="415">
        <f>ROUND(L81/12,2)</f>
        <v>27599.25</v>
      </c>
      <c r="M82" s="420"/>
      <c r="N82" s="398"/>
      <c r="O82" s="400">
        <f>ROUND(O81/12,2)</f>
        <v>25000.240000000002</v>
      </c>
    </row>
    <row r="83" spans="1:15" ht="16" thickBot="1">
      <c r="A83" s="2166"/>
      <c r="B83" s="406" t="s">
        <v>226</v>
      </c>
      <c r="C83" s="199">
        <f>C81/12</f>
        <v>22927.583333333332</v>
      </c>
      <c r="D83" s="200">
        <f>ROUND(D82/160.33,2)</f>
        <v>162.18</v>
      </c>
      <c r="E83" s="413"/>
      <c r="F83" s="200">
        <f t="shared" ref="F83:O83" si="26">ROUND(F82/160.33,2)</f>
        <v>165.12</v>
      </c>
      <c r="G83" s="200">
        <f t="shared" si="26"/>
        <v>147.38999999999999</v>
      </c>
      <c r="H83" s="200">
        <f t="shared" si="26"/>
        <v>167.16</v>
      </c>
      <c r="I83" s="200">
        <f t="shared" si="26"/>
        <v>149.99</v>
      </c>
      <c r="J83" s="200">
        <f t="shared" si="26"/>
        <v>170.1</v>
      </c>
      <c r="K83" s="200">
        <f t="shared" si="26"/>
        <v>151.79</v>
      </c>
      <c r="L83" s="200">
        <f t="shared" si="26"/>
        <v>172.14</v>
      </c>
      <c r="M83" s="200">
        <f t="shared" si="26"/>
        <v>0</v>
      </c>
      <c r="N83" s="200">
        <f t="shared" si="26"/>
        <v>0</v>
      </c>
      <c r="O83" s="200">
        <f t="shared" si="26"/>
        <v>155.93</v>
      </c>
    </row>
    <row r="84" spans="1:15">
      <c r="A84" s="2164">
        <v>27</v>
      </c>
      <c r="B84" s="205" t="s">
        <v>96</v>
      </c>
      <c r="C84" s="194">
        <v>279656</v>
      </c>
      <c r="D84" s="198">
        <f>ROUND((C84*(1+'Løntabel gældende fra'!$D$7%)),0)</f>
        <v>317159</v>
      </c>
      <c r="E84" s="196">
        <v>284456</v>
      </c>
      <c r="F84" s="197">
        <f>ROUND((E84*(1+'Løntabel gældende fra'!$D$7%)),0)</f>
        <v>322603</v>
      </c>
      <c r="G84" s="194">
        <v>287782</v>
      </c>
      <c r="H84" s="198">
        <f>ROUND((G84*(1+'Løntabel gældende fra'!$D$7%)),0)</f>
        <v>326375</v>
      </c>
      <c r="I84" s="196">
        <v>292583</v>
      </c>
      <c r="J84" s="197">
        <f>ROUND((I84*(1+'Løntabel gældende fra'!$D$7%)),0)</f>
        <v>331820</v>
      </c>
      <c r="K84" s="194">
        <v>295908</v>
      </c>
      <c r="L84" s="198">
        <f>ROUND((K84*(1+'Løntabel gældende fra'!$D$7%)),0)</f>
        <v>335590</v>
      </c>
      <c r="M84" s="422"/>
      <c r="N84" s="401">
        <v>269459.90000000002</v>
      </c>
      <c r="O84" s="402">
        <f>ROUND(N84*(1+'Løntabel gældende fra'!$D$7%),2)</f>
        <v>305595.55</v>
      </c>
    </row>
    <row r="85" spans="1:15">
      <c r="A85" s="2165"/>
      <c r="B85" s="405" t="s">
        <v>231</v>
      </c>
      <c r="C85" s="408"/>
      <c r="D85" s="415">
        <f>ROUND(D84/12,2)</f>
        <v>26429.919999999998</v>
      </c>
      <c r="E85" s="412">
        <f>E84/12</f>
        <v>23704.666666666668</v>
      </c>
      <c r="F85" s="397">
        <f>ROUND(F84/12,2)</f>
        <v>26883.58</v>
      </c>
      <c r="G85" s="408">
        <f>G84/12</f>
        <v>23981.833333333332</v>
      </c>
      <c r="H85" s="415">
        <f>ROUND(H84/12,2)</f>
        <v>27197.919999999998</v>
      </c>
      <c r="I85" s="412">
        <f>I84/12</f>
        <v>24381.916666666668</v>
      </c>
      <c r="J85" s="397">
        <f>ROUND(J84/12,2)</f>
        <v>27651.67</v>
      </c>
      <c r="K85" s="408">
        <f>K84/12</f>
        <v>24659</v>
      </c>
      <c r="L85" s="415">
        <f>ROUND(L84/12,2)</f>
        <v>27965.83</v>
      </c>
      <c r="M85" s="420"/>
      <c r="N85" s="398"/>
      <c r="O85" s="400">
        <f>ROUND(O84/12,2)</f>
        <v>25466.3</v>
      </c>
    </row>
    <row r="86" spans="1:15" ht="16" thickBot="1">
      <c r="A86" s="2168"/>
      <c r="B86" s="407" t="s">
        <v>226</v>
      </c>
      <c r="C86" s="411">
        <f>C84/12</f>
        <v>23304.666666666668</v>
      </c>
      <c r="D86" s="200">
        <f>ROUND(D85/160.33,2)</f>
        <v>164.85</v>
      </c>
      <c r="E86" s="414"/>
      <c r="F86" s="200">
        <f t="shared" ref="F86:O86" si="27">ROUND(F85/160.33,2)</f>
        <v>167.68</v>
      </c>
      <c r="G86" s="200">
        <f t="shared" si="27"/>
        <v>149.58000000000001</v>
      </c>
      <c r="H86" s="200">
        <f t="shared" si="27"/>
        <v>169.64</v>
      </c>
      <c r="I86" s="200">
        <f t="shared" si="27"/>
        <v>152.07</v>
      </c>
      <c r="J86" s="200">
        <f t="shared" si="27"/>
        <v>172.47</v>
      </c>
      <c r="K86" s="200">
        <f t="shared" si="27"/>
        <v>153.80000000000001</v>
      </c>
      <c r="L86" s="200">
        <f t="shared" si="27"/>
        <v>174.43</v>
      </c>
      <c r="M86" s="200">
        <f t="shared" si="27"/>
        <v>0</v>
      </c>
      <c r="N86" s="200">
        <f t="shared" si="27"/>
        <v>0</v>
      </c>
      <c r="O86" s="200">
        <f t="shared" si="27"/>
        <v>158.84</v>
      </c>
    </row>
    <row r="87" spans="1:15">
      <c r="A87" s="2167">
        <v>28</v>
      </c>
      <c r="B87" s="206" t="s">
        <v>96</v>
      </c>
      <c r="C87" s="202">
        <v>284283</v>
      </c>
      <c r="D87" s="195">
        <f>ROUND((C87*(1+'Løntabel gældende fra'!$D$7%)),0)</f>
        <v>322406</v>
      </c>
      <c r="E87" s="203">
        <v>288881</v>
      </c>
      <c r="F87" s="204">
        <f>ROUND((E87*(1+'Løntabel gældende fra'!$D$7%)),0)</f>
        <v>327621</v>
      </c>
      <c r="G87" s="202">
        <v>292064</v>
      </c>
      <c r="H87" s="195">
        <f>ROUND((G87*(1+'Løntabel gældende fra'!$D$7%)),0)</f>
        <v>331231</v>
      </c>
      <c r="I87" s="203">
        <v>296661</v>
      </c>
      <c r="J87" s="204">
        <f>ROUND((I87*(1+'Løntabel gældende fra'!$D$7%)),0)</f>
        <v>336444</v>
      </c>
      <c r="K87" s="202">
        <v>299845</v>
      </c>
      <c r="L87" s="195">
        <f>ROUND((K87*(1+'Løntabel gældende fra'!$D$7%)),0)</f>
        <v>340055</v>
      </c>
      <c r="M87" s="421"/>
      <c r="N87" s="399">
        <v>274522.23</v>
      </c>
      <c r="O87" s="209">
        <f>ROUND(N87*(1+'Løntabel gældende fra'!$D$7%),2)</f>
        <v>311336.76</v>
      </c>
    </row>
    <row r="88" spans="1:15">
      <c r="A88" s="2165"/>
      <c r="B88" s="405" t="s">
        <v>231</v>
      </c>
      <c r="C88" s="408"/>
      <c r="D88" s="415">
        <f>ROUND(D87/12,2)</f>
        <v>26867.17</v>
      </c>
      <c r="E88" s="412">
        <f>E87/12</f>
        <v>24073.416666666668</v>
      </c>
      <c r="F88" s="397">
        <f>ROUND(F87/12,2)</f>
        <v>27301.75</v>
      </c>
      <c r="G88" s="408">
        <f>G87/12</f>
        <v>24338.666666666668</v>
      </c>
      <c r="H88" s="415">
        <f>ROUND(H87/12,2)</f>
        <v>27602.58</v>
      </c>
      <c r="I88" s="412">
        <f>I87/12</f>
        <v>24721.75</v>
      </c>
      <c r="J88" s="397">
        <f>ROUND(J87/12,2)</f>
        <v>28037</v>
      </c>
      <c r="K88" s="408">
        <f>K87/12</f>
        <v>24987.083333333332</v>
      </c>
      <c r="L88" s="415">
        <f>ROUND(L87/12,2)</f>
        <v>28337.919999999998</v>
      </c>
      <c r="M88" s="420"/>
      <c r="N88" s="398"/>
      <c r="O88" s="400">
        <f>ROUND(O87/12,2)</f>
        <v>25944.73</v>
      </c>
    </row>
    <row r="89" spans="1:15" ht="16" thickBot="1">
      <c r="A89" s="2166"/>
      <c r="B89" s="406" t="s">
        <v>226</v>
      </c>
      <c r="C89" s="199">
        <f>C87/12</f>
        <v>23690.25</v>
      </c>
      <c r="D89" s="200">
        <f>ROUND(D88/160.33,2)</f>
        <v>167.57</v>
      </c>
      <c r="E89" s="200">
        <f t="shared" ref="E89:O89" si="28">ROUND(E88/160.33,2)</f>
        <v>150.15</v>
      </c>
      <c r="F89" s="200">
        <f t="shared" si="28"/>
        <v>170.28</v>
      </c>
      <c r="G89" s="200">
        <f t="shared" si="28"/>
        <v>151.80000000000001</v>
      </c>
      <c r="H89" s="200">
        <f t="shared" si="28"/>
        <v>172.16</v>
      </c>
      <c r="I89" s="200">
        <f t="shared" si="28"/>
        <v>154.19</v>
      </c>
      <c r="J89" s="200">
        <f t="shared" si="28"/>
        <v>174.87</v>
      </c>
      <c r="K89" s="200">
        <f t="shared" si="28"/>
        <v>155.85</v>
      </c>
      <c r="L89" s="200">
        <f t="shared" si="28"/>
        <v>176.75</v>
      </c>
      <c r="M89" s="200">
        <f t="shared" si="28"/>
        <v>0</v>
      </c>
      <c r="N89" s="200">
        <f t="shared" si="28"/>
        <v>0</v>
      </c>
      <c r="O89" s="200">
        <f t="shared" si="28"/>
        <v>161.82</v>
      </c>
    </row>
    <row r="90" spans="1:15">
      <c r="A90" s="2164">
        <v>29</v>
      </c>
      <c r="B90" s="205" t="s">
        <v>96</v>
      </c>
      <c r="C90" s="194">
        <v>289014</v>
      </c>
      <c r="D90" s="198">
        <f>ROUND((C90*(1+'Løntabel gældende fra'!$D$7%)),0)</f>
        <v>327772</v>
      </c>
      <c r="E90" s="196">
        <v>293394</v>
      </c>
      <c r="F90" s="197">
        <f>ROUND((E90*(1+'Løntabel gældende fra'!$D$7%)),0)</f>
        <v>332739</v>
      </c>
      <c r="G90" s="194">
        <v>296427</v>
      </c>
      <c r="H90" s="198">
        <f>ROUND((G90*(1+'Løntabel gældende fra'!$D$7%)),0)</f>
        <v>336179</v>
      </c>
      <c r="I90" s="196">
        <v>300807</v>
      </c>
      <c r="J90" s="197">
        <f>ROUND((I90*(1+'Løntabel gældende fra'!$D$7%)),0)</f>
        <v>341146</v>
      </c>
      <c r="K90" s="194">
        <v>303839</v>
      </c>
      <c r="L90" s="198">
        <f>ROUND((K90*(1+'Løntabel gældende fra'!$D$7%)),0)</f>
        <v>344585</v>
      </c>
      <c r="M90" s="422"/>
      <c r="N90" s="401">
        <v>279714.99</v>
      </c>
      <c r="O90" s="402">
        <f>ROUND(N90*(1+'Løntabel gældende fra'!$D$7%),2)</f>
        <v>317225.89</v>
      </c>
    </row>
    <row r="91" spans="1:15">
      <c r="A91" s="2165"/>
      <c r="B91" s="405" t="s">
        <v>231</v>
      </c>
      <c r="C91" s="408"/>
      <c r="D91" s="415">
        <f>ROUND(D90/12,2)</f>
        <v>27314.33</v>
      </c>
      <c r="E91" s="412">
        <f>E90/12</f>
        <v>24449.5</v>
      </c>
      <c r="F91" s="397">
        <f>ROUND(F90/12,2)</f>
        <v>27728.25</v>
      </c>
      <c r="G91" s="408">
        <f>G90/12</f>
        <v>24702.25</v>
      </c>
      <c r="H91" s="415">
        <f>ROUND(H90/12,2)</f>
        <v>28014.92</v>
      </c>
      <c r="I91" s="412">
        <f>I90/12</f>
        <v>25067.25</v>
      </c>
      <c r="J91" s="397">
        <f>ROUND(J90/12,2)</f>
        <v>28428.83</v>
      </c>
      <c r="K91" s="408">
        <f>K90/12</f>
        <v>25319.916666666668</v>
      </c>
      <c r="L91" s="415">
        <f>ROUND(L90/12,2)</f>
        <v>28715.42</v>
      </c>
      <c r="M91" s="420"/>
      <c r="N91" s="398"/>
      <c r="O91" s="400">
        <f>ROUND(O90/12,2)</f>
        <v>26435.49</v>
      </c>
    </row>
    <row r="92" spans="1:15" ht="16" thickBot="1">
      <c r="A92" s="2168"/>
      <c r="B92" s="407" t="s">
        <v>226</v>
      </c>
      <c r="C92" s="411">
        <f>C90/12</f>
        <v>24084.5</v>
      </c>
      <c r="D92" s="200">
        <f>ROUND(D91/160.33,2)</f>
        <v>170.36</v>
      </c>
      <c r="E92" s="414"/>
      <c r="F92" s="200">
        <f t="shared" ref="F92:O92" si="29">ROUND(F91/160.33,2)</f>
        <v>172.94</v>
      </c>
      <c r="G92" s="200">
        <f t="shared" si="29"/>
        <v>154.07</v>
      </c>
      <c r="H92" s="200">
        <f t="shared" si="29"/>
        <v>174.73</v>
      </c>
      <c r="I92" s="200">
        <f t="shared" si="29"/>
        <v>156.35</v>
      </c>
      <c r="J92" s="200">
        <f t="shared" si="29"/>
        <v>177.31</v>
      </c>
      <c r="K92" s="200">
        <f t="shared" si="29"/>
        <v>157.91999999999999</v>
      </c>
      <c r="L92" s="200">
        <f t="shared" si="29"/>
        <v>179.1</v>
      </c>
      <c r="M92" s="200">
        <f t="shared" si="29"/>
        <v>0</v>
      </c>
      <c r="N92" s="200">
        <f t="shared" si="29"/>
        <v>0</v>
      </c>
      <c r="O92" s="200">
        <f t="shared" si="29"/>
        <v>164.88</v>
      </c>
    </row>
    <row r="93" spans="1:15">
      <c r="A93" s="2167">
        <v>30</v>
      </c>
      <c r="B93" s="206" t="s">
        <v>96</v>
      </c>
      <c r="C93" s="202">
        <v>293853</v>
      </c>
      <c r="D93" s="195">
        <f>ROUND((C93*(1+'Løntabel gældende fra'!$D$7%)),0)</f>
        <v>333260</v>
      </c>
      <c r="E93" s="203">
        <v>298001</v>
      </c>
      <c r="F93" s="204">
        <f>ROUND((E93*(1+'Løntabel gældende fra'!$D$7%)),0)</f>
        <v>337964</v>
      </c>
      <c r="G93" s="202">
        <v>300872</v>
      </c>
      <c r="H93" s="195">
        <f>ROUND((G93*(1+'Løntabel gældende fra'!$D$7%)),0)</f>
        <v>341220</v>
      </c>
      <c r="I93" s="203">
        <v>305018</v>
      </c>
      <c r="J93" s="204">
        <f>ROUND((I93*(1+'Løntabel gældende fra'!$D$7%)),0)</f>
        <v>345922</v>
      </c>
      <c r="K93" s="202">
        <v>307890</v>
      </c>
      <c r="L93" s="195">
        <f>ROUND((K93*(1+'Løntabel gældende fra'!$D$7%)),0)</f>
        <v>349179</v>
      </c>
      <c r="M93" s="421"/>
      <c r="N93" s="399">
        <v>285044.74</v>
      </c>
      <c r="O93" s="209">
        <f>ROUND(N93*(1+'Løntabel gældende fra'!$D$7%),2)</f>
        <v>323270.38</v>
      </c>
    </row>
    <row r="94" spans="1:15">
      <c r="A94" s="2165"/>
      <c r="B94" s="405" t="s">
        <v>97</v>
      </c>
      <c r="C94" s="408"/>
      <c r="D94" s="415">
        <f>ROUND(D93/12,2)</f>
        <v>27771.67</v>
      </c>
      <c r="E94" s="412">
        <f>E93/12</f>
        <v>24833.416666666668</v>
      </c>
      <c r="F94" s="397">
        <f>ROUND(F93/12,2)</f>
        <v>28163.67</v>
      </c>
      <c r="G94" s="408">
        <f>G93/12</f>
        <v>25072.666666666668</v>
      </c>
      <c r="H94" s="415">
        <f>ROUND(H93/12,2)</f>
        <v>28435</v>
      </c>
      <c r="I94" s="412">
        <f>I93/12</f>
        <v>25418.166666666668</v>
      </c>
      <c r="J94" s="397">
        <f>ROUND(J93/12,2)</f>
        <v>28826.83</v>
      </c>
      <c r="K94" s="408">
        <f>K93/12</f>
        <v>25657.5</v>
      </c>
      <c r="L94" s="415">
        <f>ROUND(L93/12,2)</f>
        <v>29098.25</v>
      </c>
      <c r="M94" s="420"/>
      <c r="N94" s="398"/>
      <c r="O94" s="400">
        <f>ROUND(O93/12,2)</f>
        <v>26939.200000000001</v>
      </c>
    </row>
    <row r="95" spans="1:15" ht="16" thickBot="1">
      <c r="A95" s="2166"/>
      <c r="B95" s="406" t="s">
        <v>226</v>
      </c>
      <c r="C95" s="199">
        <f>C93/12</f>
        <v>24487.75</v>
      </c>
      <c r="D95" s="200">
        <f>ROUND(D94/160.33,2)</f>
        <v>173.22</v>
      </c>
      <c r="E95" s="413"/>
      <c r="F95" s="200">
        <f t="shared" ref="F95:O95" si="30">ROUND(F94/160.33,2)</f>
        <v>175.66</v>
      </c>
      <c r="G95" s="200">
        <f t="shared" si="30"/>
        <v>156.38</v>
      </c>
      <c r="H95" s="200">
        <f t="shared" si="30"/>
        <v>177.35</v>
      </c>
      <c r="I95" s="200">
        <f t="shared" si="30"/>
        <v>158.54</v>
      </c>
      <c r="J95" s="200">
        <f t="shared" si="30"/>
        <v>179.8</v>
      </c>
      <c r="K95" s="200">
        <f t="shared" si="30"/>
        <v>160.03</v>
      </c>
      <c r="L95" s="200">
        <f t="shared" si="30"/>
        <v>181.49</v>
      </c>
      <c r="M95" s="200">
        <f t="shared" si="30"/>
        <v>0</v>
      </c>
      <c r="N95" s="200">
        <f t="shared" si="30"/>
        <v>0</v>
      </c>
      <c r="O95" s="200">
        <f t="shared" si="30"/>
        <v>168.02</v>
      </c>
    </row>
    <row r="96" spans="1:15">
      <c r="A96" s="2164">
        <v>31</v>
      </c>
      <c r="B96" s="205" t="s">
        <v>96</v>
      </c>
      <c r="C96" s="194">
        <v>298795</v>
      </c>
      <c r="D96" s="198">
        <f>ROUND((C96*(1+'Løntabel gældende fra'!$D$7%)),0)</f>
        <v>338865</v>
      </c>
      <c r="E96" s="196">
        <v>302696</v>
      </c>
      <c r="F96" s="197">
        <f>ROUND((E96*(1+'Løntabel gældende fra'!$D$7%)),0)</f>
        <v>343289</v>
      </c>
      <c r="G96" s="194">
        <v>305398</v>
      </c>
      <c r="H96" s="198">
        <f>ROUND((G96*(1+'Løntabel gældende fra'!$D$7%)),0)</f>
        <v>346353</v>
      </c>
      <c r="I96" s="196">
        <v>309299</v>
      </c>
      <c r="J96" s="197">
        <f>ROUND((I96*(1+'Løntabel gældende fra'!$D$7%)),0)</f>
        <v>350777</v>
      </c>
      <c r="K96" s="194">
        <v>312000</v>
      </c>
      <c r="L96" s="198">
        <f>ROUND((K96*(1+'Løntabel gældende fra'!$D$7%)),0)</f>
        <v>353840</v>
      </c>
      <c r="M96" s="422"/>
      <c r="N96" s="401">
        <v>290512.64000000001</v>
      </c>
      <c r="O96" s="402">
        <f>ROUND(N96*(1+'Løntabel gældende fra'!$D$7%),2)</f>
        <v>329471.55</v>
      </c>
    </row>
    <row r="97" spans="1:15">
      <c r="A97" s="2165"/>
      <c r="B97" s="405" t="s">
        <v>231</v>
      </c>
      <c r="C97" s="408"/>
      <c r="D97" s="415">
        <f>ROUND(D96/12,2)</f>
        <v>28238.75</v>
      </c>
      <c r="E97" s="412">
        <f>E96/12</f>
        <v>25224.666666666668</v>
      </c>
      <c r="F97" s="397">
        <f>ROUND(F96/12,2)</f>
        <v>28607.42</v>
      </c>
      <c r="G97" s="408">
        <f>G96/12</f>
        <v>25449.833333333332</v>
      </c>
      <c r="H97" s="415">
        <f>ROUND(H96/12,2)</f>
        <v>28862.75</v>
      </c>
      <c r="I97" s="412">
        <f>I96/12</f>
        <v>25774.916666666668</v>
      </c>
      <c r="J97" s="397">
        <f>ROUND(J96/12,2)</f>
        <v>29231.42</v>
      </c>
      <c r="K97" s="408">
        <f>K96/12</f>
        <v>26000</v>
      </c>
      <c r="L97" s="415">
        <f>ROUND(L96/12,2)</f>
        <v>29486.67</v>
      </c>
      <c r="M97" s="420"/>
      <c r="N97" s="398"/>
      <c r="O97" s="400">
        <f>ROUND(O96/12,2)</f>
        <v>27455.96</v>
      </c>
    </row>
    <row r="98" spans="1:15" ht="16" thickBot="1">
      <c r="A98" s="2168"/>
      <c r="B98" s="407" t="s">
        <v>226</v>
      </c>
      <c r="C98" s="411">
        <f>C96/12</f>
        <v>24899.583333333332</v>
      </c>
      <c r="D98" s="200">
        <f>ROUND(D97/160.33,2)</f>
        <v>176.13</v>
      </c>
      <c r="E98" s="414"/>
      <c r="F98" s="200">
        <f t="shared" ref="F98:O98" si="31">ROUND(F97/160.33,2)</f>
        <v>178.43</v>
      </c>
      <c r="G98" s="200">
        <f t="shared" si="31"/>
        <v>158.72999999999999</v>
      </c>
      <c r="H98" s="200">
        <f t="shared" si="31"/>
        <v>180.02</v>
      </c>
      <c r="I98" s="200">
        <f t="shared" si="31"/>
        <v>160.76</v>
      </c>
      <c r="J98" s="200">
        <f t="shared" si="31"/>
        <v>182.32</v>
      </c>
      <c r="K98" s="200">
        <f t="shared" si="31"/>
        <v>162.16999999999999</v>
      </c>
      <c r="L98" s="200">
        <f t="shared" si="31"/>
        <v>183.91</v>
      </c>
      <c r="M98" s="200">
        <f t="shared" si="31"/>
        <v>0</v>
      </c>
      <c r="N98" s="200">
        <f t="shared" si="31"/>
        <v>0</v>
      </c>
      <c r="O98" s="200">
        <f t="shared" si="31"/>
        <v>171.25</v>
      </c>
    </row>
    <row r="99" spans="1:15">
      <c r="A99" s="2167">
        <v>32</v>
      </c>
      <c r="B99" s="206" t="s">
        <v>96</v>
      </c>
      <c r="C99" s="202">
        <v>303852</v>
      </c>
      <c r="D99" s="195">
        <f>ROUND((C99*(1+'Løntabel gældende fra'!$D$7%)),0)</f>
        <v>344600</v>
      </c>
      <c r="E99" s="203">
        <v>307490</v>
      </c>
      <c r="F99" s="204">
        <f>ROUND((E99*(1+'Løntabel gældende fra'!$D$7%)),0)</f>
        <v>348726</v>
      </c>
      <c r="G99" s="202">
        <v>310009</v>
      </c>
      <c r="H99" s="195">
        <f>ROUND((G99*(1+'Løntabel gældende fra'!$D$7%)),0)</f>
        <v>351582</v>
      </c>
      <c r="I99" s="203">
        <v>313649</v>
      </c>
      <c r="J99" s="204">
        <f>ROUND((I99*(1+'Løntabel gældende fra'!$D$7%)),0)</f>
        <v>355711</v>
      </c>
      <c r="K99" s="202">
        <v>316167</v>
      </c>
      <c r="L99" s="195">
        <f>ROUND((K99*(1+'Løntabel gældende fra'!$D$7%)),0)</f>
        <v>358566</v>
      </c>
      <c r="M99" s="421"/>
      <c r="N99" s="399">
        <v>296125.21000000002</v>
      </c>
      <c r="O99" s="209">
        <f>ROUND(N99*(1+'Løntabel gældende fra'!$D$7%),2)</f>
        <v>335836.79</v>
      </c>
    </row>
    <row r="100" spans="1:15">
      <c r="A100" s="2165"/>
      <c r="B100" s="405" t="s">
        <v>97</v>
      </c>
      <c r="C100" s="408"/>
      <c r="D100" s="415">
        <f>ROUND(D99/12,2)</f>
        <v>28716.67</v>
      </c>
      <c r="E100" s="412">
        <f>E99/12</f>
        <v>25624.166666666668</v>
      </c>
      <c r="F100" s="397">
        <f>ROUND(F99/12,2)</f>
        <v>29060.5</v>
      </c>
      <c r="G100" s="408">
        <f>G99/12</f>
        <v>25834.083333333332</v>
      </c>
      <c r="H100" s="415">
        <f>ROUND(H99/12,2)</f>
        <v>29298.5</v>
      </c>
      <c r="I100" s="412">
        <f>I99/12</f>
        <v>26137.416666666668</v>
      </c>
      <c r="J100" s="397">
        <f>ROUND(J99/12,2)</f>
        <v>29642.58</v>
      </c>
      <c r="K100" s="408">
        <f>K99/12</f>
        <v>26347.25</v>
      </c>
      <c r="L100" s="415">
        <f>ROUND(L99/12,2)</f>
        <v>29880.5</v>
      </c>
      <c r="M100" s="420"/>
      <c r="N100" s="398"/>
      <c r="O100" s="400">
        <f>ROUND(O99/12,2)</f>
        <v>27986.400000000001</v>
      </c>
    </row>
    <row r="101" spans="1:15" ht="16" thickBot="1">
      <c r="A101" s="2166"/>
      <c r="B101" s="406" t="s">
        <v>226</v>
      </c>
      <c r="C101" s="199">
        <f>C99/12</f>
        <v>25321</v>
      </c>
      <c r="D101" s="200">
        <f>ROUND(D100/160.33,2)</f>
        <v>179.11</v>
      </c>
      <c r="E101" s="413"/>
      <c r="F101" s="200">
        <f t="shared" ref="F101:O101" si="32">ROUND(F100/160.33,2)</f>
        <v>181.25</v>
      </c>
      <c r="G101" s="200">
        <f t="shared" si="32"/>
        <v>161.13</v>
      </c>
      <c r="H101" s="200">
        <f t="shared" si="32"/>
        <v>182.74</v>
      </c>
      <c r="I101" s="200">
        <f t="shared" si="32"/>
        <v>163.02000000000001</v>
      </c>
      <c r="J101" s="200">
        <f t="shared" si="32"/>
        <v>184.88</v>
      </c>
      <c r="K101" s="200">
        <f t="shared" si="32"/>
        <v>164.33</v>
      </c>
      <c r="L101" s="200">
        <f t="shared" si="32"/>
        <v>186.37</v>
      </c>
      <c r="M101" s="200">
        <f t="shared" si="32"/>
        <v>0</v>
      </c>
      <c r="N101" s="200">
        <f t="shared" si="32"/>
        <v>0</v>
      </c>
      <c r="O101" s="200">
        <f t="shared" si="32"/>
        <v>174.55</v>
      </c>
    </row>
    <row r="102" spans="1:15">
      <c r="A102" s="2164">
        <v>33</v>
      </c>
      <c r="B102" s="205" t="s">
        <v>96</v>
      </c>
      <c r="C102" s="194">
        <v>309016</v>
      </c>
      <c r="D102" s="198">
        <f>ROUND((C102*(1+'Løntabel gældende fra'!$D$7%)),0)</f>
        <v>350456</v>
      </c>
      <c r="E102" s="196">
        <v>312375</v>
      </c>
      <c r="F102" s="197">
        <f>ROUND((E102*(1+'Løntabel gældende fra'!$D$7%)),0)</f>
        <v>354266</v>
      </c>
      <c r="G102" s="194">
        <v>314703</v>
      </c>
      <c r="H102" s="198">
        <f>ROUND((G102*(1+'Løntabel gældende fra'!$D$7%)),0)</f>
        <v>356906</v>
      </c>
      <c r="I102" s="196">
        <v>318063</v>
      </c>
      <c r="J102" s="197">
        <f>ROUND((I102*(1+'Løntabel gældende fra'!$D$7%)),0)</f>
        <v>360717</v>
      </c>
      <c r="K102" s="194">
        <v>320390</v>
      </c>
      <c r="L102" s="198">
        <f>ROUND((K102*(1+'Løntabel gældende fra'!$D$7%)),0)</f>
        <v>363356</v>
      </c>
      <c r="M102" s="422"/>
      <c r="N102" s="401">
        <v>301881.8</v>
      </c>
      <c r="O102" s="402">
        <f>ROUND(N102*(1+'Løntabel gældende fra'!$D$7%),2)</f>
        <v>342365.36</v>
      </c>
    </row>
    <row r="103" spans="1:15">
      <c r="A103" s="2165"/>
      <c r="B103" s="405" t="s">
        <v>231</v>
      </c>
      <c r="C103" s="408"/>
      <c r="D103" s="415">
        <f>ROUND(D102/12,2)</f>
        <v>29204.67</v>
      </c>
      <c r="E103" s="412">
        <f>E102/12</f>
        <v>26031.25</v>
      </c>
      <c r="F103" s="397">
        <f>ROUND(F102/12,2)</f>
        <v>29522.17</v>
      </c>
      <c r="G103" s="408">
        <f>G102/12</f>
        <v>26225.25</v>
      </c>
      <c r="H103" s="415">
        <f>ROUND(H102/12,2)</f>
        <v>29742.17</v>
      </c>
      <c r="I103" s="412">
        <f>I102/12</f>
        <v>26505.25</v>
      </c>
      <c r="J103" s="397">
        <f>ROUND(J102/12,2)</f>
        <v>30059.75</v>
      </c>
      <c r="K103" s="408">
        <f>K102/12</f>
        <v>26699.166666666668</v>
      </c>
      <c r="L103" s="415">
        <f>ROUND(L102/12,2)</f>
        <v>30279.67</v>
      </c>
      <c r="M103" s="420"/>
      <c r="N103" s="398"/>
      <c r="O103" s="400">
        <f>ROUND(O102/12,2)</f>
        <v>28530.45</v>
      </c>
    </row>
    <row r="104" spans="1:15" ht="16" thickBot="1">
      <c r="A104" s="2168"/>
      <c r="B104" s="407" t="s">
        <v>226</v>
      </c>
      <c r="C104" s="411">
        <f>C102/12</f>
        <v>25751.333333333332</v>
      </c>
      <c r="D104" s="200">
        <f>ROUND(D103/160.33,2)</f>
        <v>182.15</v>
      </c>
      <c r="E104" s="414"/>
      <c r="F104" s="200">
        <f t="shared" ref="F104:O104" si="33">ROUND(F103/160.33,2)</f>
        <v>184.13</v>
      </c>
      <c r="G104" s="200">
        <f t="shared" si="33"/>
        <v>163.57</v>
      </c>
      <c r="H104" s="200">
        <f t="shared" si="33"/>
        <v>185.51</v>
      </c>
      <c r="I104" s="200">
        <f t="shared" si="33"/>
        <v>165.32</v>
      </c>
      <c r="J104" s="200">
        <f t="shared" si="33"/>
        <v>187.49</v>
      </c>
      <c r="K104" s="200">
        <f t="shared" si="33"/>
        <v>166.53</v>
      </c>
      <c r="L104" s="200">
        <f t="shared" si="33"/>
        <v>188.86</v>
      </c>
      <c r="M104" s="200">
        <f t="shared" si="33"/>
        <v>0</v>
      </c>
      <c r="N104" s="200">
        <f t="shared" si="33"/>
        <v>0</v>
      </c>
      <c r="O104" s="200">
        <f t="shared" si="33"/>
        <v>177.95</v>
      </c>
    </row>
    <row r="105" spans="1:15">
      <c r="A105" s="2167">
        <v>34</v>
      </c>
      <c r="B105" s="206" t="s">
        <v>96</v>
      </c>
      <c r="C105" s="202">
        <v>314298</v>
      </c>
      <c r="D105" s="195">
        <f>ROUND((C105*(1+'Løntabel gældende fra'!$D$7%)),0)</f>
        <v>356447</v>
      </c>
      <c r="E105" s="203">
        <v>317363</v>
      </c>
      <c r="F105" s="204">
        <f>ROUND((E105*(1+'Løntabel gældende fra'!$D$7%)),0)</f>
        <v>359923</v>
      </c>
      <c r="G105" s="202">
        <v>319485</v>
      </c>
      <c r="H105" s="195">
        <f>ROUND((G105*(1+'Løntabel gældende fra'!$D$7%)),0)</f>
        <v>362329</v>
      </c>
      <c r="I105" s="203">
        <v>322548</v>
      </c>
      <c r="J105" s="204">
        <f>ROUND((I105*(1+'Løntabel gældende fra'!$D$7%)),0)</f>
        <v>365803</v>
      </c>
      <c r="K105" s="202">
        <v>324670</v>
      </c>
      <c r="L105" s="195">
        <f>ROUND((K105*(1+'Løntabel gældende fra'!$D$7%)),0)</f>
        <v>368210</v>
      </c>
      <c r="M105" s="421"/>
      <c r="N105" s="399">
        <v>307790.62</v>
      </c>
      <c r="O105" s="209">
        <f>ROUND(N105*(1+'Løntabel gældende fra'!$D$7%),2)</f>
        <v>349066.57</v>
      </c>
    </row>
    <row r="106" spans="1:15">
      <c r="A106" s="2165"/>
      <c r="B106" s="405" t="s">
        <v>231</v>
      </c>
      <c r="C106" s="408"/>
      <c r="D106" s="415">
        <f>ROUND(D105/12,2)</f>
        <v>29703.919999999998</v>
      </c>
      <c r="E106" s="412">
        <f>E105/12</f>
        <v>26446.916666666668</v>
      </c>
      <c r="F106" s="397">
        <f>ROUND(F105/12,2)</f>
        <v>29993.58</v>
      </c>
      <c r="G106" s="408">
        <f>G105/12</f>
        <v>26623.75</v>
      </c>
      <c r="H106" s="415">
        <f>ROUND(H105/12,2)</f>
        <v>30194.080000000002</v>
      </c>
      <c r="I106" s="412">
        <f>I105/12</f>
        <v>26879</v>
      </c>
      <c r="J106" s="397">
        <f>ROUND(J105/12,2)</f>
        <v>30483.58</v>
      </c>
      <c r="K106" s="408">
        <f>K105/12</f>
        <v>27055.833333333332</v>
      </c>
      <c r="L106" s="415">
        <f>ROUND(L105/12,2)</f>
        <v>30684.17</v>
      </c>
      <c r="M106" s="420"/>
      <c r="N106" s="398"/>
      <c r="O106" s="400">
        <f>ROUND(O105/12,2)</f>
        <v>29088.880000000001</v>
      </c>
    </row>
    <row r="107" spans="1:15" ht="16" thickBot="1">
      <c r="A107" s="2166"/>
      <c r="B107" s="406" t="s">
        <v>226</v>
      </c>
      <c r="C107" s="199">
        <f>C105/12</f>
        <v>26191.5</v>
      </c>
      <c r="D107" s="200">
        <f>ROUND(D106/160.33,2)</f>
        <v>185.27</v>
      </c>
      <c r="E107" s="413"/>
      <c r="F107" s="200">
        <f t="shared" ref="F107:O107" si="34">ROUND(F106/160.33,2)</f>
        <v>187.07</v>
      </c>
      <c r="G107" s="200">
        <f t="shared" si="34"/>
        <v>166.06</v>
      </c>
      <c r="H107" s="200">
        <f t="shared" si="34"/>
        <v>188.32</v>
      </c>
      <c r="I107" s="200">
        <f t="shared" si="34"/>
        <v>167.65</v>
      </c>
      <c r="J107" s="200">
        <f t="shared" si="34"/>
        <v>190.13</v>
      </c>
      <c r="K107" s="200">
        <f t="shared" si="34"/>
        <v>168.75</v>
      </c>
      <c r="L107" s="200">
        <f t="shared" si="34"/>
        <v>191.38</v>
      </c>
      <c r="M107" s="200">
        <f t="shared" si="34"/>
        <v>0</v>
      </c>
      <c r="N107" s="200">
        <f t="shared" si="34"/>
        <v>0</v>
      </c>
      <c r="O107" s="200">
        <f t="shared" si="34"/>
        <v>181.43</v>
      </c>
    </row>
    <row r="108" spans="1:15">
      <c r="A108" s="2164">
        <v>35</v>
      </c>
      <c r="B108" s="205" t="s">
        <v>96</v>
      </c>
      <c r="C108" s="194">
        <v>319697</v>
      </c>
      <c r="D108" s="198">
        <f>ROUND((C108*(1+'Løntabel gældende fra'!$D$7%)),0)</f>
        <v>362570</v>
      </c>
      <c r="E108" s="196">
        <v>322450</v>
      </c>
      <c r="F108" s="197">
        <f>ROUND((E108*(1+'Løntabel gældende fra'!$D$7%)),0)</f>
        <v>365692</v>
      </c>
      <c r="G108" s="194">
        <v>324354</v>
      </c>
      <c r="H108" s="198">
        <f>ROUND((G108*(1+'Løntabel gældende fra'!$D$7%)),0)</f>
        <v>367851</v>
      </c>
      <c r="I108" s="196">
        <v>327107</v>
      </c>
      <c r="J108" s="197">
        <f>ROUND((I108*(1+'Løntabel gældende fra'!$D$7%)),0)</f>
        <v>370973</v>
      </c>
      <c r="K108" s="194">
        <v>329011</v>
      </c>
      <c r="L108" s="198">
        <f>ROUND((K108*(1+'Løntabel gældende fra'!$D$7%)),0)</f>
        <v>373133</v>
      </c>
      <c r="M108" s="422"/>
      <c r="N108" s="401">
        <v>313854.56</v>
      </c>
      <c r="O108" s="402">
        <f>ROUND(N108*(1+'Løntabel gældende fra'!$D$7%),2)</f>
        <v>355943.71</v>
      </c>
    </row>
    <row r="109" spans="1:15">
      <c r="A109" s="2165"/>
      <c r="B109" s="405" t="s">
        <v>231</v>
      </c>
      <c r="C109" s="408"/>
      <c r="D109" s="415">
        <f>ROUND(D108/12,2)</f>
        <v>30214.17</v>
      </c>
      <c r="E109" s="412">
        <f>E108/12</f>
        <v>26870.833333333332</v>
      </c>
      <c r="F109" s="397">
        <f>ROUND(F108/12,2)</f>
        <v>30474.33</v>
      </c>
      <c r="G109" s="408">
        <f>G108/12</f>
        <v>27029.5</v>
      </c>
      <c r="H109" s="415">
        <f>ROUND(H108/12,2)</f>
        <v>30654.25</v>
      </c>
      <c r="I109" s="412">
        <f>I108/12</f>
        <v>27258.916666666668</v>
      </c>
      <c r="J109" s="397">
        <f>ROUND(J108/12,2)</f>
        <v>30914.42</v>
      </c>
      <c r="K109" s="408">
        <f>K108/12</f>
        <v>27417.583333333332</v>
      </c>
      <c r="L109" s="415">
        <f>ROUND(L108/12,2)</f>
        <v>31094.42</v>
      </c>
      <c r="M109" s="420"/>
      <c r="N109" s="398"/>
      <c r="O109" s="400">
        <f>ROUND(O108/12,2)</f>
        <v>29661.98</v>
      </c>
    </row>
    <row r="110" spans="1:15" ht="16" thickBot="1">
      <c r="A110" s="2168"/>
      <c r="B110" s="407" t="s">
        <v>226</v>
      </c>
      <c r="C110" s="411">
        <f>C108/12</f>
        <v>26641.416666666668</v>
      </c>
      <c r="D110" s="200">
        <f>ROUND(D109/160.33,2)</f>
        <v>188.45</v>
      </c>
      <c r="E110" s="414"/>
      <c r="F110" s="200">
        <f t="shared" ref="F110:O110" si="35">ROUND(F109/160.33,2)</f>
        <v>190.07</v>
      </c>
      <c r="G110" s="200">
        <f t="shared" si="35"/>
        <v>168.59</v>
      </c>
      <c r="H110" s="200">
        <f t="shared" si="35"/>
        <v>191.19</v>
      </c>
      <c r="I110" s="200">
        <f t="shared" si="35"/>
        <v>170.02</v>
      </c>
      <c r="J110" s="200">
        <f t="shared" si="35"/>
        <v>192.82</v>
      </c>
      <c r="K110" s="200">
        <f t="shared" si="35"/>
        <v>171.01</v>
      </c>
      <c r="L110" s="200">
        <f t="shared" si="35"/>
        <v>193.94</v>
      </c>
      <c r="M110" s="200">
        <f t="shared" si="35"/>
        <v>0</v>
      </c>
      <c r="N110" s="200">
        <f t="shared" si="35"/>
        <v>0</v>
      </c>
      <c r="O110" s="200">
        <f t="shared" si="35"/>
        <v>185.01</v>
      </c>
    </row>
    <row r="111" spans="1:15">
      <c r="A111" s="2167">
        <v>36</v>
      </c>
      <c r="B111" s="206" t="s">
        <v>96</v>
      </c>
      <c r="C111" s="202">
        <v>325214</v>
      </c>
      <c r="D111" s="195">
        <f>ROUND((C111*(1+'Løntabel gældende fra'!$D$7%)),0)</f>
        <v>368826</v>
      </c>
      <c r="E111" s="203">
        <v>327634</v>
      </c>
      <c r="F111" s="204">
        <f>ROUND((E111*(1+'Løntabel gældende fra'!$D$7%)),0)</f>
        <v>371571</v>
      </c>
      <c r="G111" s="202">
        <v>329310</v>
      </c>
      <c r="H111" s="195">
        <f>ROUND((G111*(1+'Løntabel gældende fra'!$D$7%)),0)</f>
        <v>373472</v>
      </c>
      <c r="I111" s="203">
        <v>331731</v>
      </c>
      <c r="J111" s="204">
        <f>ROUND((I111*(1+'Løntabel gældende fra'!$D$7%)),0)</f>
        <v>376217</v>
      </c>
      <c r="K111" s="202">
        <v>333406</v>
      </c>
      <c r="L111" s="195">
        <f>ROUND((K111*(1+'Løntabel gældende fra'!$D$7%)),0)</f>
        <v>378117</v>
      </c>
      <c r="M111" s="421"/>
      <c r="N111" s="399">
        <v>320074.68</v>
      </c>
      <c r="O111" s="209">
        <f>ROUND(N111*(1+'Løntabel gældende fra'!$D$7%),2)</f>
        <v>362997.97</v>
      </c>
    </row>
    <row r="112" spans="1:15">
      <c r="A112" s="2165"/>
      <c r="B112" s="405" t="s">
        <v>231</v>
      </c>
      <c r="C112" s="408"/>
      <c r="D112" s="415">
        <f>ROUND(D111/12,2)</f>
        <v>30735.5</v>
      </c>
      <c r="E112" s="412">
        <f>E111/12</f>
        <v>27302.833333333332</v>
      </c>
      <c r="F112" s="397">
        <f>ROUND(F111/12,2)</f>
        <v>30964.25</v>
      </c>
      <c r="G112" s="408">
        <f>G111/12</f>
        <v>27442.5</v>
      </c>
      <c r="H112" s="415">
        <f>ROUND(H111/12,2)</f>
        <v>31122.67</v>
      </c>
      <c r="I112" s="412">
        <f>I111/12</f>
        <v>27644.25</v>
      </c>
      <c r="J112" s="397">
        <f>ROUND(J111/12,2)</f>
        <v>31351.42</v>
      </c>
      <c r="K112" s="408">
        <f>K111/12</f>
        <v>27783.833333333332</v>
      </c>
      <c r="L112" s="415">
        <f>ROUND(L111/12,2)</f>
        <v>31509.75</v>
      </c>
      <c r="M112" s="420"/>
      <c r="N112" s="398"/>
      <c r="O112" s="400">
        <f>ROUND(O111/12,2)</f>
        <v>30249.83</v>
      </c>
    </row>
    <row r="113" spans="1:15" ht="16" thickBot="1">
      <c r="A113" s="2166"/>
      <c r="B113" s="406" t="s">
        <v>226</v>
      </c>
      <c r="C113" s="199">
        <f>C111/12</f>
        <v>27101.166666666668</v>
      </c>
      <c r="D113" s="200">
        <f>ROUND(D112/160.33,2)</f>
        <v>191.7</v>
      </c>
      <c r="E113" s="413"/>
      <c r="F113" s="200">
        <f t="shared" ref="F113:O113" si="36">ROUND(F112/160.33,2)</f>
        <v>193.13</v>
      </c>
      <c r="G113" s="200">
        <f t="shared" si="36"/>
        <v>171.16</v>
      </c>
      <c r="H113" s="200">
        <f t="shared" si="36"/>
        <v>194.12</v>
      </c>
      <c r="I113" s="200">
        <f t="shared" si="36"/>
        <v>172.42</v>
      </c>
      <c r="J113" s="200">
        <f t="shared" si="36"/>
        <v>195.54</v>
      </c>
      <c r="K113" s="200">
        <f t="shared" si="36"/>
        <v>173.29</v>
      </c>
      <c r="L113" s="200">
        <f t="shared" si="36"/>
        <v>196.53</v>
      </c>
      <c r="M113" s="200">
        <f t="shared" si="36"/>
        <v>0</v>
      </c>
      <c r="N113" s="200">
        <f t="shared" si="36"/>
        <v>0</v>
      </c>
      <c r="O113" s="200">
        <f t="shared" si="36"/>
        <v>188.67</v>
      </c>
    </row>
    <row r="114" spans="1:15">
      <c r="A114" s="2164">
        <v>37</v>
      </c>
      <c r="B114" s="205" t="s">
        <v>96</v>
      </c>
      <c r="C114" s="194">
        <v>330853</v>
      </c>
      <c r="D114" s="198">
        <f>ROUND((C114*(1+'Løntabel gældende fra'!$D$7%)),0)</f>
        <v>375222</v>
      </c>
      <c r="E114" s="196">
        <v>332923</v>
      </c>
      <c r="F114" s="197">
        <f>ROUND((E114*(1+'Løntabel gældende fra'!$D$7%)),0)</f>
        <v>377569</v>
      </c>
      <c r="G114" s="194">
        <v>334355</v>
      </c>
      <c r="H114" s="198">
        <f>ROUND((G114*(1+'Løntabel gældende fra'!$D$7%)),0)</f>
        <v>379193</v>
      </c>
      <c r="I114" s="196">
        <v>336425</v>
      </c>
      <c r="J114" s="197">
        <f>ROUND((I114*(1+'Løntabel gældende fra'!$D$7%)),0)</f>
        <v>381541</v>
      </c>
      <c r="K114" s="194">
        <v>337859</v>
      </c>
      <c r="L114" s="198">
        <f>ROUND((K114*(1+'Løntabel gældende fra'!$D$7%)),0)</f>
        <v>383167</v>
      </c>
      <c r="M114" s="422"/>
      <c r="N114" s="401">
        <v>326457.34000000003</v>
      </c>
      <c r="O114" s="402">
        <f>ROUND(N114*(1+'Løntabel gældende fra'!$D$7%),2)</f>
        <v>370236.58</v>
      </c>
    </row>
    <row r="115" spans="1:15">
      <c r="A115" s="2165"/>
      <c r="B115" s="405" t="s">
        <v>231</v>
      </c>
      <c r="C115" s="408"/>
      <c r="D115" s="415">
        <f>ROUND(D114/12,2)</f>
        <v>31268.5</v>
      </c>
      <c r="E115" s="412">
        <f>E114/12</f>
        <v>27743.583333333332</v>
      </c>
      <c r="F115" s="397">
        <f>ROUND(F114/12,2)</f>
        <v>31464.080000000002</v>
      </c>
      <c r="G115" s="408">
        <f>G114/12</f>
        <v>27862.916666666668</v>
      </c>
      <c r="H115" s="415">
        <f>ROUND(H114/12,2)</f>
        <v>31599.42</v>
      </c>
      <c r="I115" s="412">
        <f>I114/12</f>
        <v>28035.416666666668</v>
      </c>
      <c r="J115" s="397">
        <f>ROUND(J114/12,2)</f>
        <v>31795.08</v>
      </c>
      <c r="K115" s="408">
        <f>K114/12</f>
        <v>28154.916666666668</v>
      </c>
      <c r="L115" s="415">
        <f>ROUND(L114/12,2)</f>
        <v>31930.58</v>
      </c>
      <c r="M115" s="420"/>
      <c r="N115" s="398"/>
      <c r="O115" s="400">
        <f>ROUND(O114/12,2)</f>
        <v>30853.05</v>
      </c>
    </row>
    <row r="116" spans="1:15" ht="16" thickBot="1">
      <c r="A116" s="2168"/>
      <c r="B116" s="407" t="s">
        <v>226</v>
      </c>
      <c r="C116" s="411">
        <f>C114/12</f>
        <v>27571.083333333332</v>
      </c>
      <c r="D116" s="200">
        <f>ROUND(D115/160.33,2)</f>
        <v>195.03</v>
      </c>
      <c r="E116" s="414"/>
      <c r="F116" s="200">
        <f t="shared" ref="F116:O116" si="37">ROUND(F115/160.33,2)</f>
        <v>196.25</v>
      </c>
      <c r="G116" s="200">
        <f t="shared" si="37"/>
        <v>173.78</v>
      </c>
      <c r="H116" s="200">
        <f t="shared" si="37"/>
        <v>197.09</v>
      </c>
      <c r="I116" s="200">
        <f t="shared" si="37"/>
        <v>174.86</v>
      </c>
      <c r="J116" s="200">
        <f t="shared" si="37"/>
        <v>198.31</v>
      </c>
      <c r="K116" s="200">
        <f t="shared" si="37"/>
        <v>175.61</v>
      </c>
      <c r="L116" s="200">
        <f t="shared" si="37"/>
        <v>199.16</v>
      </c>
      <c r="M116" s="200">
        <f t="shared" si="37"/>
        <v>0</v>
      </c>
      <c r="N116" s="200">
        <f t="shared" si="37"/>
        <v>0</v>
      </c>
      <c r="O116" s="200">
        <f t="shared" si="37"/>
        <v>192.43</v>
      </c>
    </row>
    <row r="117" spans="1:15">
      <c r="A117" s="2167">
        <v>38</v>
      </c>
      <c r="B117" s="206" t="s">
        <v>96</v>
      </c>
      <c r="C117" s="202">
        <v>336808</v>
      </c>
      <c r="D117" s="195">
        <f>ROUND((C117*(1+'Løntabel gældende fra'!$D$7%)),0)</f>
        <v>381975</v>
      </c>
      <c r="E117" s="203">
        <v>338540</v>
      </c>
      <c r="F117" s="204">
        <f>ROUND((E117*(1+'Løntabel gældende fra'!$D$7%)),0)</f>
        <v>383940</v>
      </c>
      <c r="G117" s="202">
        <v>339739</v>
      </c>
      <c r="H117" s="195">
        <f>ROUND((G117*(1+'Løntabel gældende fra'!$D$7%)),0)</f>
        <v>385299</v>
      </c>
      <c r="I117" s="203">
        <v>341471</v>
      </c>
      <c r="J117" s="204">
        <f>ROUND((I117*(1+'Løntabel gældende fra'!$D$7%)),0)</f>
        <v>387264</v>
      </c>
      <c r="K117" s="202">
        <v>342672</v>
      </c>
      <c r="L117" s="195">
        <f>ROUND((K117*(1+'Løntabel gældende fra'!$D$7%)),0)</f>
        <v>388626</v>
      </c>
      <c r="M117" s="421"/>
      <c r="N117" s="399">
        <v>333128.88</v>
      </c>
      <c r="O117" s="209">
        <f>ROUND(N117*(1+'Løntabel gældende fra'!$D$7%),2)</f>
        <v>377802.8</v>
      </c>
    </row>
    <row r="118" spans="1:15">
      <c r="A118" s="2165"/>
      <c r="B118" s="405" t="s">
        <v>231</v>
      </c>
      <c r="C118" s="408"/>
      <c r="D118" s="415">
        <f>ROUND(D117/12,2)</f>
        <v>31831.25</v>
      </c>
      <c r="E118" s="412">
        <f>E117/12</f>
        <v>28211.666666666668</v>
      </c>
      <c r="F118" s="397">
        <f>ROUND(F117/12,2)</f>
        <v>31995</v>
      </c>
      <c r="G118" s="408">
        <f>G117/12</f>
        <v>28311.583333333332</v>
      </c>
      <c r="H118" s="415">
        <f>ROUND(H117/12,2)</f>
        <v>32108.25</v>
      </c>
      <c r="I118" s="412">
        <f>I117/12</f>
        <v>28455.916666666668</v>
      </c>
      <c r="J118" s="397">
        <f>ROUND(J117/12,2)</f>
        <v>32272</v>
      </c>
      <c r="K118" s="408">
        <f>K117/12</f>
        <v>28556</v>
      </c>
      <c r="L118" s="415">
        <f>ROUND(L117/12,2)</f>
        <v>32385.5</v>
      </c>
      <c r="M118" s="420"/>
      <c r="N118" s="398"/>
      <c r="O118" s="400">
        <f>ROUND(O117/12,2)</f>
        <v>31483.57</v>
      </c>
    </row>
    <row r="119" spans="1:15" ht="16" thickBot="1">
      <c r="A119" s="2166"/>
      <c r="B119" s="406" t="s">
        <v>226</v>
      </c>
      <c r="C119" s="199">
        <f>C117/12</f>
        <v>28067.333333333332</v>
      </c>
      <c r="D119" s="200">
        <f>ROUND(D118/160.33,2)</f>
        <v>198.54</v>
      </c>
      <c r="E119" s="413"/>
      <c r="F119" s="200">
        <f t="shared" ref="F119:O119" si="38">ROUND(F118/160.33,2)</f>
        <v>199.56</v>
      </c>
      <c r="G119" s="200">
        <f t="shared" si="38"/>
        <v>176.58</v>
      </c>
      <c r="H119" s="200">
        <f t="shared" si="38"/>
        <v>200.26</v>
      </c>
      <c r="I119" s="200">
        <f t="shared" si="38"/>
        <v>177.48</v>
      </c>
      <c r="J119" s="200">
        <f t="shared" si="38"/>
        <v>201.28</v>
      </c>
      <c r="K119" s="200">
        <f t="shared" si="38"/>
        <v>178.11</v>
      </c>
      <c r="L119" s="200">
        <f t="shared" si="38"/>
        <v>201.99</v>
      </c>
      <c r="M119" s="200">
        <f t="shared" si="38"/>
        <v>0</v>
      </c>
      <c r="N119" s="200">
        <f t="shared" si="38"/>
        <v>0</v>
      </c>
      <c r="O119" s="200">
        <f t="shared" si="38"/>
        <v>196.37</v>
      </c>
    </row>
    <row r="120" spans="1:15">
      <c r="A120" s="2164">
        <v>39</v>
      </c>
      <c r="B120" s="205" t="s">
        <v>96</v>
      </c>
      <c r="C120" s="194">
        <v>342821</v>
      </c>
      <c r="D120" s="198">
        <f>ROUND((C120*(1+'Løntabel gældende fra'!$D$7%)),0)</f>
        <v>388795</v>
      </c>
      <c r="E120" s="196">
        <v>344156</v>
      </c>
      <c r="F120" s="197">
        <f>ROUND((E120*(1+'Løntabel gældende fra'!$D$7%)),0)</f>
        <v>390309</v>
      </c>
      <c r="G120" s="194">
        <v>345080</v>
      </c>
      <c r="H120" s="198">
        <f>ROUND((G120*(1+'Løntabel gældende fra'!$D$7%)),0)</f>
        <v>391357</v>
      </c>
      <c r="I120" s="196">
        <v>346413</v>
      </c>
      <c r="J120" s="197">
        <f>ROUND((I120*(1+'Løntabel gældende fra'!$D$7%)),0)</f>
        <v>392868</v>
      </c>
      <c r="K120" s="194">
        <v>347337</v>
      </c>
      <c r="L120" s="198">
        <f>ROUND((K120*(1+'Løntabel gældende fra'!$D$7%)),0)</f>
        <v>393916</v>
      </c>
      <c r="M120" s="422"/>
      <c r="N120" s="401">
        <v>339989.41</v>
      </c>
      <c r="O120" s="402">
        <f>ROUND(N120*(1+'Løntabel gældende fra'!$D$7%),2)</f>
        <v>385583.35</v>
      </c>
    </row>
    <row r="121" spans="1:15">
      <c r="A121" s="2165"/>
      <c r="B121" s="405" t="s">
        <v>231</v>
      </c>
      <c r="C121" s="408"/>
      <c r="D121" s="415">
        <f>ROUND(D120/12,2)</f>
        <v>32399.58</v>
      </c>
      <c r="E121" s="412">
        <f>E120/12</f>
        <v>28679.666666666668</v>
      </c>
      <c r="F121" s="397">
        <f>ROUND(F120/12,2)</f>
        <v>32525.75</v>
      </c>
      <c r="G121" s="408">
        <f>G120/12</f>
        <v>28756.666666666668</v>
      </c>
      <c r="H121" s="415">
        <f>ROUND(H120/12,2)</f>
        <v>32613.08</v>
      </c>
      <c r="I121" s="412">
        <f>I120/12</f>
        <v>28867.75</v>
      </c>
      <c r="J121" s="397">
        <f>ROUND(J120/12,2)</f>
        <v>32739</v>
      </c>
      <c r="K121" s="408">
        <f>K120/12</f>
        <v>28944.75</v>
      </c>
      <c r="L121" s="415">
        <f>ROUND(L120/12,2)</f>
        <v>32826.33</v>
      </c>
      <c r="M121" s="420"/>
      <c r="N121" s="398"/>
      <c r="O121" s="400">
        <f>ROUND(O120/12,2)</f>
        <v>32131.95</v>
      </c>
    </row>
    <row r="122" spans="1:15" ht="16" thickBot="1">
      <c r="A122" s="2168"/>
      <c r="B122" s="407" t="s">
        <v>226</v>
      </c>
      <c r="C122" s="411">
        <f>C120/12</f>
        <v>28568.416666666668</v>
      </c>
      <c r="D122" s="200">
        <f>ROUND(D121/160.33,2)</f>
        <v>202.08</v>
      </c>
      <c r="E122" s="414"/>
      <c r="F122" s="200">
        <f t="shared" ref="F122:O122" si="39">ROUND(F121/160.33,2)</f>
        <v>202.87</v>
      </c>
      <c r="G122" s="200">
        <f t="shared" si="39"/>
        <v>179.36</v>
      </c>
      <c r="H122" s="200">
        <f t="shared" si="39"/>
        <v>203.41</v>
      </c>
      <c r="I122" s="200">
        <f t="shared" si="39"/>
        <v>180.05</v>
      </c>
      <c r="J122" s="200">
        <f t="shared" si="39"/>
        <v>204.2</v>
      </c>
      <c r="K122" s="200">
        <f t="shared" si="39"/>
        <v>180.53</v>
      </c>
      <c r="L122" s="200">
        <f t="shared" si="39"/>
        <v>204.74</v>
      </c>
      <c r="M122" s="200">
        <f t="shared" si="39"/>
        <v>0</v>
      </c>
      <c r="N122" s="200">
        <f t="shared" si="39"/>
        <v>0</v>
      </c>
      <c r="O122" s="200">
        <f t="shared" si="39"/>
        <v>200.41</v>
      </c>
    </row>
    <row r="123" spans="1:15">
      <c r="A123" s="2167">
        <v>40</v>
      </c>
      <c r="B123" s="206" t="s">
        <v>96</v>
      </c>
      <c r="C123" s="202">
        <v>348966</v>
      </c>
      <c r="D123" s="195">
        <f>ROUND((C123*(1+'Løntabel gældende fra'!$D$7%)),0)</f>
        <v>395764</v>
      </c>
      <c r="E123" s="203">
        <v>349878</v>
      </c>
      <c r="F123" s="204">
        <f>ROUND((E123*(1+'Løntabel gældende fra'!$D$7%)),0)</f>
        <v>396798</v>
      </c>
      <c r="G123" s="202">
        <v>350510</v>
      </c>
      <c r="H123" s="195">
        <f>ROUND((G123*(1+'Løntabel gældende fra'!$D$7%)),0)</f>
        <v>397515</v>
      </c>
      <c r="I123" s="203">
        <v>351422</v>
      </c>
      <c r="J123" s="204">
        <f>ROUND((I123*(1+'Løntabel gældende fra'!$D$7%)),0)</f>
        <v>398549</v>
      </c>
      <c r="K123" s="202">
        <v>352054</v>
      </c>
      <c r="L123" s="195">
        <f>ROUND((K123*(1+'Løntabel gældende fra'!$D$7%)),0)</f>
        <v>399266</v>
      </c>
      <c r="M123" s="421"/>
      <c r="N123" s="399">
        <v>347027.46</v>
      </c>
      <c r="O123" s="209">
        <f>ROUND(N123*(1+'Løntabel gældende fra'!$D$7%),2)</f>
        <v>393565.23</v>
      </c>
    </row>
    <row r="124" spans="1:15">
      <c r="A124" s="2165"/>
      <c r="B124" s="405" t="s">
        <v>231</v>
      </c>
      <c r="C124" s="408"/>
      <c r="D124" s="415">
        <f>ROUND(D123/12,2)</f>
        <v>32980.33</v>
      </c>
      <c r="E124" s="412">
        <f>E123/12</f>
        <v>29156.5</v>
      </c>
      <c r="F124" s="397">
        <f>ROUND(F123/12,2)</f>
        <v>33066.5</v>
      </c>
      <c r="G124" s="408">
        <f>G123/12</f>
        <v>29209.166666666668</v>
      </c>
      <c r="H124" s="415">
        <f>ROUND(H123/12,2)</f>
        <v>33126.25</v>
      </c>
      <c r="I124" s="412">
        <f>I123/12</f>
        <v>29285.166666666668</v>
      </c>
      <c r="J124" s="397">
        <f>ROUND(J123/12,2)</f>
        <v>33212.42</v>
      </c>
      <c r="K124" s="408">
        <f>K123/12</f>
        <v>29337.833333333332</v>
      </c>
      <c r="L124" s="415">
        <f>ROUND(L123/12,2)</f>
        <v>33272.17</v>
      </c>
      <c r="M124" s="420"/>
      <c r="N124" s="398"/>
      <c r="O124" s="400">
        <f>ROUND(O123/12,2)</f>
        <v>32797.1</v>
      </c>
    </row>
    <row r="125" spans="1:15" ht="16" thickBot="1">
      <c r="A125" s="2166"/>
      <c r="B125" s="406" t="s">
        <v>226</v>
      </c>
      <c r="C125" s="199">
        <f>C123/12</f>
        <v>29080.5</v>
      </c>
      <c r="D125" s="200">
        <f>ROUND(D124/160.33,2)</f>
        <v>205.7</v>
      </c>
      <c r="E125" s="413"/>
      <c r="F125" s="200">
        <f t="shared" ref="F125:O125" si="40">ROUND(F124/160.33,2)</f>
        <v>206.24</v>
      </c>
      <c r="G125" s="200">
        <f t="shared" si="40"/>
        <v>182.18</v>
      </c>
      <c r="H125" s="200">
        <f t="shared" si="40"/>
        <v>206.61</v>
      </c>
      <c r="I125" s="200">
        <f t="shared" si="40"/>
        <v>182.66</v>
      </c>
      <c r="J125" s="200">
        <f t="shared" si="40"/>
        <v>207.15</v>
      </c>
      <c r="K125" s="200">
        <f t="shared" si="40"/>
        <v>182.98</v>
      </c>
      <c r="L125" s="200">
        <f t="shared" si="40"/>
        <v>207.52</v>
      </c>
      <c r="M125" s="200">
        <f t="shared" si="40"/>
        <v>0</v>
      </c>
      <c r="N125" s="200">
        <f t="shared" si="40"/>
        <v>0</v>
      </c>
      <c r="O125" s="200">
        <f t="shared" si="40"/>
        <v>204.56</v>
      </c>
    </row>
    <row r="126" spans="1:15">
      <c r="A126" s="2164">
        <v>41</v>
      </c>
      <c r="B126" s="205" t="s">
        <v>96</v>
      </c>
      <c r="C126" s="194">
        <v>355245</v>
      </c>
      <c r="D126" s="198">
        <f>ROUND((C126*(1+'Løntabel gældende fra'!$D$7%)),0)</f>
        <v>402885</v>
      </c>
      <c r="E126" s="196">
        <v>355712</v>
      </c>
      <c r="F126" s="197">
        <f>ROUND((E126*(1+'Løntabel gældende fra'!$D$7%)),0)</f>
        <v>403414</v>
      </c>
      <c r="G126" s="194">
        <v>356037</v>
      </c>
      <c r="H126" s="198">
        <f>ROUND((G126*(1+'Løntabel gældende fra'!$D$7%)),0)</f>
        <v>403783</v>
      </c>
      <c r="I126" s="196">
        <v>356505</v>
      </c>
      <c r="J126" s="197">
        <f>ROUND((I126*(1+'Løntabel gældende fra'!$D$7%)),0)</f>
        <v>404314</v>
      </c>
      <c r="K126" s="194">
        <v>356828</v>
      </c>
      <c r="L126" s="198">
        <f>ROUND((K126*(1+'Løntabel gældende fra'!$D$7%)),0)</f>
        <v>404680</v>
      </c>
      <c r="M126" s="422"/>
      <c r="N126" s="401">
        <v>354249.23</v>
      </c>
      <c r="O126" s="402">
        <f>ROUND(N126*(1+'Løntabel gældende fra'!$D$7%),2)</f>
        <v>401755.47</v>
      </c>
    </row>
    <row r="127" spans="1:15">
      <c r="A127" s="2165"/>
      <c r="B127" s="405" t="s">
        <v>231</v>
      </c>
      <c r="C127" s="408"/>
      <c r="D127" s="415">
        <f>ROUND(D126/12,2)</f>
        <v>33573.75</v>
      </c>
      <c r="E127" s="412">
        <f>E126/12</f>
        <v>29642.666666666668</v>
      </c>
      <c r="F127" s="397">
        <f>ROUND(F126/12,2)</f>
        <v>33617.83</v>
      </c>
      <c r="G127" s="408">
        <f>G126/12</f>
        <v>29669.75</v>
      </c>
      <c r="H127" s="415">
        <f>ROUND(H126/12,2)</f>
        <v>33648.58</v>
      </c>
      <c r="I127" s="412">
        <f>I126/12</f>
        <v>29708.75</v>
      </c>
      <c r="J127" s="397">
        <f>ROUND(J126/12,2)</f>
        <v>33692.83</v>
      </c>
      <c r="K127" s="408">
        <f>K126/12</f>
        <v>29735.666666666668</v>
      </c>
      <c r="L127" s="415">
        <f>ROUND(L126/12,2)</f>
        <v>33723.33</v>
      </c>
      <c r="M127" s="420"/>
      <c r="N127" s="398"/>
      <c r="O127" s="400">
        <f>ROUND(O126/12,2)</f>
        <v>33479.620000000003</v>
      </c>
    </row>
    <row r="128" spans="1:15" ht="16" thickBot="1">
      <c r="A128" s="2168"/>
      <c r="B128" s="407" t="s">
        <v>226</v>
      </c>
      <c r="C128" s="411">
        <f>C126/12</f>
        <v>29603.75</v>
      </c>
      <c r="D128" s="200">
        <f>ROUND(D127/160.33,2)</f>
        <v>209.4</v>
      </c>
      <c r="E128" s="414"/>
      <c r="F128" s="200">
        <f t="shared" ref="F128:O128" si="41">ROUND(F127/160.33,2)</f>
        <v>209.68</v>
      </c>
      <c r="G128" s="200">
        <f t="shared" si="41"/>
        <v>185.05</v>
      </c>
      <c r="H128" s="200">
        <f t="shared" si="41"/>
        <v>209.87</v>
      </c>
      <c r="I128" s="200">
        <f t="shared" si="41"/>
        <v>185.3</v>
      </c>
      <c r="J128" s="200">
        <f t="shared" si="41"/>
        <v>210.15</v>
      </c>
      <c r="K128" s="200">
        <f t="shared" si="41"/>
        <v>185.47</v>
      </c>
      <c r="L128" s="200">
        <f t="shared" si="41"/>
        <v>210.34</v>
      </c>
      <c r="M128" s="200">
        <f t="shared" si="41"/>
        <v>0</v>
      </c>
      <c r="N128" s="200">
        <f t="shared" si="41"/>
        <v>0</v>
      </c>
      <c r="O128" s="200">
        <f t="shared" si="41"/>
        <v>208.82</v>
      </c>
    </row>
    <row r="129" spans="1:15">
      <c r="A129" s="2167">
        <v>42</v>
      </c>
      <c r="B129" s="206" t="s">
        <v>96</v>
      </c>
      <c r="C129" s="202">
        <v>361660</v>
      </c>
      <c r="D129" s="195">
        <f>ROUND((C129*(1+'Løntabel gældende fra'!$D$7%)),0)</f>
        <v>410160</v>
      </c>
      <c r="E129" s="203">
        <v>361660</v>
      </c>
      <c r="F129" s="204">
        <f>ROUND((E129*(1+'Løntabel gældende fra'!$D$7%)),0)</f>
        <v>410160</v>
      </c>
      <c r="G129" s="202">
        <v>361660</v>
      </c>
      <c r="H129" s="195">
        <f>ROUND((G129*(1+'Løntabel gældende fra'!$D$7%)),0)</f>
        <v>410160</v>
      </c>
      <c r="I129" s="203">
        <v>361660</v>
      </c>
      <c r="J129" s="204">
        <f>ROUND((I129*(1+'Løntabel gældende fra'!$D$7%)),0)</f>
        <v>410160</v>
      </c>
      <c r="K129" s="202">
        <v>361660</v>
      </c>
      <c r="L129" s="195">
        <f>ROUND((K129*(1+'Løntabel gældende fra'!$D$7%)),0)</f>
        <v>410160</v>
      </c>
      <c r="M129" s="421"/>
      <c r="N129" s="399">
        <v>361659.2</v>
      </c>
      <c r="O129" s="209">
        <f>ROUND(N129*(1+'Løntabel gældende fra'!$D$7%),2)</f>
        <v>410159.15</v>
      </c>
    </row>
    <row r="130" spans="1:15">
      <c r="A130" s="2165"/>
      <c r="B130" s="405" t="s">
        <v>231</v>
      </c>
      <c r="C130" s="408"/>
      <c r="D130" s="415">
        <f>ROUND(D129/12,2)</f>
        <v>34180</v>
      </c>
      <c r="E130" s="412">
        <f>E129/12</f>
        <v>30138.333333333332</v>
      </c>
      <c r="F130" s="397">
        <f>ROUND(F129/12,2)</f>
        <v>34180</v>
      </c>
      <c r="G130" s="408">
        <f>G129/12</f>
        <v>30138.333333333332</v>
      </c>
      <c r="H130" s="415">
        <f>ROUND(H129/12,2)</f>
        <v>34180</v>
      </c>
      <c r="I130" s="412">
        <f>I129/12</f>
        <v>30138.333333333332</v>
      </c>
      <c r="J130" s="397">
        <f>ROUND(J129/12,2)</f>
        <v>34180</v>
      </c>
      <c r="K130" s="408">
        <f>K129/12</f>
        <v>30138.333333333332</v>
      </c>
      <c r="L130" s="415">
        <f>ROUND(L129/12,2)</f>
        <v>34180</v>
      </c>
      <c r="M130" s="420"/>
      <c r="N130" s="398"/>
      <c r="O130" s="400">
        <f>ROUND(O129/12,2)</f>
        <v>34179.93</v>
      </c>
    </row>
    <row r="131" spans="1:15" ht="16" thickBot="1">
      <c r="A131" s="2166"/>
      <c r="B131" s="406" t="s">
        <v>226</v>
      </c>
      <c r="C131" s="199">
        <f>C129/12</f>
        <v>30138.333333333332</v>
      </c>
      <c r="D131" s="200">
        <f>ROUND(D130/160.33,2)</f>
        <v>213.19</v>
      </c>
      <c r="E131" s="413"/>
      <c r="F131" s="200">
        <f t="shared" ref="F131:O131" si="42">ROUND(F130/160.33,2)</f>
        <v>213.19</v>
      </c>
      <c r="G131" s="200">
        <f t="shared" si="42"/>
        <v>187.98</v>
      </c>
      <c r="H131" s="200">
        <f t="shared" si="42"/>
        <v>213.19</v>
      </c>
      <c r="I131" s="200">
        <f t="shared" si="42"/>
        <v>187.98</v>
      </c>
      <c r="J131" s="200">
        <f t="shared" si="42"/>
        <v>213.19</v>
      </c>
      <c r="K131" s="200">
        <f t="shared" si="42"/>
        <v>187.98</v>
      </c>
      <c r="L131" s="200">
        <f t="shared" si="42"/>
        <v>213.19</v>
      </c>
      <c r="M131" s="200">
        <f t="shared" si="42"/>
        <v>0</v>
      </c>
      <c r="N131" s="200">
        <f t="shared" si="42"/>
        <v>0</v>
      </c>
      <c r="O131" s="200">
        <f t="shared" si="42"/>
        <v>213.18</v>
      </c>
    </row>
    <row r="132" spans="1:15">
      <c r="A132" s="2164">
        <v>43</v>
      </c>
      <c r="B132" s="205" t="s">
        <v>96</v>
      </c>
      <c r="C132" s="194">
        <v>369689</v>
      </c>
      <c r="D132" s="198">
        <f>ROUND((C132*(1+'Løntabel gældende fra'!$D$7%)),0)</f>
        <v>419266</v>
      </c>
      <c r="E132" s="196">
        <v>369689</v>
      </c>
      <c r="F132" s="197">
        <f>ROUND((E132*(1+'Løntabel gældende fra'!$D$7%)),0)</f>
        <v>419266</v>
      </c>
      <c r="G132" s="194">
        <v>369689</v>
      </c>
      <c r="H132" s="198">
        <f>ROUND((G132*(1+'Løntabel gældende fra'!$D$7%)),0)</f>
        <v>419266</v>
      </c>
      <c r="I132" s="196">
        <v>369689</v>
      </c>
      <c r="J132" s="197">
        <f>ROUND((I132*(1+'Løntabel gældende fra'!$D$7%)),0)</f>
        <v>419266</v>
      </c>
      <c r="K132" s="194">
        <v>369689</v>
      </c>
      <c r="L132" s="198">
        <f>ROUND((K132*(1+'Løntabel gældende fra'!$D$7%)),0)</f>
        <v>419266</v>
      </c>
      <c r="M132" s="422"/>
      <c r="N132" s="401">
        <v>369688.53</v>
      </c>
      <c r="O132" s="402">
        <f>ROUND(N132*(1+'Løntabel gældende fra'!$D$7%),2)</f>
        <v>419265.24</v>
      </c>
    </row>
    <row r="133" spans="1:15">
      <c r="A133" s="2165"/>
      <c r="B133" s="405" t="s">
        <v>231</v>
      </c>
      <c r="C133" s="408"/>
      <c r="D133" s="415">
        <f>ROUND(D132/12,2)</f>
        <v>34938.83</v>
      </c>
      <c r="E133" s="412">
        <f>E132/12</f>
        <v>30807.416666666668</v>
      </c>
      <c r="F133" s="397">
        <f>ROUND(F132/12,2)</f>
        <v>34938.83</v>
      </c>
      <c r="G133" s="408">
        <f>G132/12</f>
        <v>30807.416666666668</v>
      </c>
      <c r="H133" s="415">
        <f>ROUND(H132/12,2)</f>
        <v>34938.83</v>
      </c>
      <c r="I133" s="412">
        <f>I132/12</f>
        <v>30807.416666666668</v>
      </c>
      <c r="J133" s="397">
        <f>ROUND(J132/12,2)</f>
        <v>34938.83</v>
      </c>
      <c r="K133" s="408">
        <f>K132/12</f>
        <v>30807.416666666668</v>
      </c>
      <c r="L133" s="415">
        <f>ROUND(L132/12,2)</f>
        <v>34938.83</v>
      </c>
      <c r="M133" s="420"/>
      <c r="N133" s="398"/>
      <c r="O133" s="400">
        <f>ROUND(O132/12,2)</f>
        <v>34938.769999999997</v>
      </c>
    </row>
    <row r="134" spans="1:15" ht="16" thickBot="1">
      <c r="A134" s="2168"/>
      <c r="B134" s="407" t="s">
        <v>226</v>
      </c>
      <c r="C134" s="411">
        <f>C132/12</f>
        <v>30807.416666666668</v>
      </c>
      <c r="D134" s="200">
        <f>ROUND(D133/160.33,2)</f>
        <v>217.92</v>
      </c>
      <c r="E134" s="414"/>
      <c r="F134" s="200">
        <f t="shared" ref="F134:O134" si="43">ROUND(F133/160.33,2)</f>
        <v>217.92</v>
      </c>
      <c r="G134" s="200">
        <f t="shared" si="43"/>
        <v>192.15</v>
      </c>
      <c r="H134" s="200">
        <f t="shared" si="43"/>
        <v>217.92</v>
      </c>
      <c r="I134" s="200">
        <f t="shared" si="43"/>
        <v>192.15</v>
      </c>
      <c r="J134" s="200">
        <f t="shared" si="43"/>
        <v>217.92</v>
      </c>
      <c r="K134" s="200">
        <f t="shared" si="43"/>
        <v>192.15</v>
      </c>
      <c r="L134" s="200">
        <f t="shared" si="43"/>
        <v>217.92</v>
      </c>
      <c r="M134" s="200">
        <f t="shared" si="43"/>
        <v>0</v>
      </c>
      <c r="N134" s="200">
        <f t="shared" si="43"/>
        <v>0</v>
      </c>
      <c r="O134" s="200">
        <f t="shared" si="43"/>
        <v>217.92</v>
      </c>
    </row>
    <row r="135" spans="1:15">
      <c r="A135" s="2167">
        <v>44</v>
      </c>
      <c r="B135" s="206" t="s">
        <v>96</v>
      </c>
      <c r="C135" s="202">
        <v>377937</v>
      </c>
      <c r="D135" s="195">
        <f>ROUND((C135*(1+'Løntabel gældende fra'!$D$7%)),0)</f>
        <v>428620</v>
      </c>
      <c r="E135" s="203">
        <v>377937</v>
      </c>
      <c r="F135" s="204">
        <f>ROUND((E135*(1+'Løntabel gældende fra'!$D$7%)),0)</f>
        <v>428620</v>
      </c>
      <c r="G135" s="202">
        <v>377937</v>
      </c>
      <c r="H135" s="195">
        <f>ROUND((G135*(1+'Løntabel gældende fra'!$D$7%)),0)</f>
        <v>428620</v>
      </c>
      <c r="I135" s="203">
        <v>377937</v>
      </c>
      <c r="J135" s="204">
        <f>ROUND((I135*(1+'Løntabel gældende fra'!$D$7%)),0)</f>
        <v>428620</v>
      </c>
      <c r="K135" s="202">
        <v>377937</v>
      </c>
      <c r="L135" s="195">
        <f>ROUND((K135*(1+'Løntabel gældende fra'!$D$7%)),0)</f>
        <v>428620</v>
      </c>
      <c r="M135" s="421"/>
      <c r="N135" s="399">
        <v>377937.3</v>
      </c>
      <c r="O135" s="209">
        <f>ROUND(N135*(1+'Løntabel gældende fra'!$D$7%),2)</f>
        <v>428620.2</v>
      </c>
    </row>
    <row r="136" spans="1:15">
      <c r="A136" s="2165"/>
      <c r="B136" s="405" t="s">
        <v>231</v>
      </c>
      <c r="C136" s="408"/>
      <c r="D136" s="415">
        <f>ROUND(D135/12,2)</f>
        <v>35718.33</v>
      </c>
      <c r="E136" s="412">
        <f>E135/12</f>
        <v>31494.75</v>
      </c>
      <c r="F136" s="397">
        <f>ROUND(F135/12,2)</f>
        <v>35718.33</v>
      </c>
      <c r="G136" s="408">
        <f>G135/12</f>
        <v>31494.75</v>
      </c>
      <c r="H136" s="415">
        <f>ROUND(H135/12,2)</f>
        <v>35718.33</v>
      </c>
      <c r="I136" s="412">
        <f>I135/12</f>
        <v>31494.75</v>
      </c>
      <c r="J136" s="397">
        <f>ROUND(J135/12,2)</f>
        <v>35718.33</v>
      </c>
      <c r="K136" s="408">
        <f>K135/12</f>
        <v>31494.75</v>
      </c>
      <c r="L136" s="415">
        <f>ROUND(L135/12,2)</f>
        <v>35718.33</v>
      </c>
      <c r="M136" s="420"/>
      <c r="N136" s="398"/>
      <c r="O136" s="400">
        <f>ROUND(O135/12,2)</f>
        <v>35718.35</v>
      </c>
    </row>
    <row r="137" spans="1:15" ht="16" thickBot="1">
      <c r="A137" s="2166"/>
      <c r="B137" s="406" t="s">
        <v>226</v>
      </c>
      <c r="C137" s="199">
        <f>C135/12</f>
        <v>31494.75</v>
      </c>
      <c r="D137" s="200">
        <f>ROUND(D136/160.33,2)</f>
        <v>222.78</v>
      </c>
      <c r="E137" s="413"/>
      <c r="F137" s="200">
        <f t="shared" ref="F137:O137" si="44">ROUND(F136/160.33,2)</f>
        <v>222.78</v>
      </c>
      <c r="G137" s="200">
        <f t="shared" si="44"/>
        <v>196.44</v>
      </c>
      <c r="H137" s="200">
        <f t="shared" si="44"/>
        <v>222.78</v>
      </c>
      <c r="I137" s="200">
        <f t="shared" si="44"/>
        <v>196.44</v>
      </c>
      <c r="J137" s="200">
        <f t="shared" si="44"/>
        <v>222.78</v>
      </c>
      <c r="K137" s="200">
        <f t="shared" si="44"/>
        <v>196.44</v>
      </c>
      <c r="L137" s="200">
        <f t="shared" si="44"/>
        <v>222.78</v>
      </c>
      <c r="M137" s="200">
        <f t="shared" si="44"/>
        <v>0</v>
      </c>
      <c r="N137" s="200">
        <f t="shared" si="44"/>
        <v>0</v>
      </c>
      <c r="O137" s="200">
        <f t="shared" si="44"/>
        <v>222.78</v>
      </c>
    </row>
    <row r="138" spans="1:15">
      <c r="A138" s="2167">
        <v>45</v>
      </c>
      <c r="B138" s="206" t="s">
        <v>96</v>
      </c>
      <c r="C138" s="202">
        <v>386414</v>
      </c>
      <c r="D138" s="195">
        <f>ROUND((C138*(1+'Løntabel gældende fra'!$D$7%)),0)</f>
        <v>438234</v>
      </c>
      <c r="E138" s="203">
        <v>386414</v>
      </c>
      <c r="F138" s="204">
        <f>ROUND((E138*(1+'Løntabel gældende fra'!$D$7%)),0)</f>
        <v>438234</v>
      </c>
      <c r="G138" s="202">
        <v>386414</v>
      </c>
      <c r="H138" s="195">
        <f>ROUND((G138*(1+'Løntabel gældende fra'!$D$7%)),0)</f>
        <v>438234</v>
      </c>
      <c r="I138" s="203">
        <v>386414</v>
      </c>
      <c r="J138" s="204">
        <f>ROUND((I138*(1+'Løntabel gældende fra'!$D$7%)),0)</f>
        <v>438234</v>
      </c>
      <c r="K138" s="202">
        <v>386414</v>
      </c>
      <c r="L138" s="195">
        <f>ROUND((K138*(1+'Løntabel gældende fra'!$D$7%)),0)</f>
        <v>438234</v>
      </c>
      <c r="M138" s="421"/>
      <c r="N138" s="399">
        <v>386414.29</v>
      </c>
      <c r="O138" s="209">
        <f>ROUND(N138*(1+'Løntabel gældende fra'!$D$7%),2)</f>
        <v>438233.99</v>
      </c>
    </row>
    <row r="139" spans="1:15">
      <c r="A139" s="2165"/>
      <c r="B139" s="405" t="s">
        <v>231</v>
      </c>
      <c r="C139" s="408"/>
      <c r="D139" s="415">
        <f>ROUND(D138/12,2)</f>
        <v>36519.5</v>
      </c>
      <c r="E139" s="412">
        <f>E138/12</f>
        <v>32201.166666666668</v>
      </c>
      <c r="F139" s="397">
        <f>ROUND(F138/12,2)</f>
        <v>36519.5</v>
      </c>
      <c r="G139" s="408">
        <f>G138/12</f>
        <v>32201.166666666668</v>
      </c>
      <c r="H139" s="415">
        <f>ROUND(H138/12,2)</f>
        <v>36519.5</v>
      </c>
      <c r="I139" s="412">
        <f>I138/12</f>
        <v>32201.166666666668</v>
      </c>
      <c r="J139" s="397">
        <f>ROUND(J138/12,2)</f>
        <v>36519.5</v>
      </c>
      <c r="K139" s="408">
        <f>K138/12</f>
        <v>32201.166666666668</v>
      </c>
      <c r="L139" s="415">
        <f>ROUND(L138/12,2)</f>
        <v>36519.5</v>
      </c>
      <c r="M139" s="420"/>
      <c r="N139" s="398"/>
      <c r="O139" s="400">
        <f>ROUND(O138/12,2)</f>
        <v>36519.5</v>
      </c>
    </row>
    <row r="140" spans="1:15" ht="16" thickBot="1">
      <c r="A140" s="2166"/>
      <c r="B140" s="406" t="s">
        <v>226</v>
      </c>
      <c r="C140" s="199">
        <f>C138/12</f>
        <v>32201.166666666668</v>
      </c>
      <c r="D140" s="200">
        <f>ROUND(D139/160.33,2)</f>
        <v>227.78</v>
      </c>
      <c r="E140" s="413"/>
      <c r="F140" s="200">
        <f t="shared" ref="F140:O140" si="45">ROUND(F139/160.33,2)</f>
        <v>227.78</v>
      </c>
      <c r="G140" s="200">
        <f t="shared" si="45"/>
        <v>200.84</v>
      </c>
      <c r="H140" s="200">
        <f t="shared" si="45"/>
        <v>227.78</v>
      </c>
      <c r="I140" s="200">
        <f t="shared" si="45"/>
        <v>200.84</v>
      </c>
      <c r="J140" s="200">
        <f t="shared" si="45"/>
        <v>227.78</v>
      </c>
      <c r="K140" s="200">
        <f t="shared" si="45"/>
        <v>200.84</v>
      </c>
      <c r="L140" s="200">
        <f t="shared" si="45"/>
        <v>227.78</v>
      </c>
      <c r="M140" s="200">
        <f t="shared" si="45"/>
        <v>0</v>
      </c>
      <c r="N140" s="200">
        <f t="shared" si="45"/>
        <v>0</v>
      </c>
      <c r="O140" s="200">
        <f t="shared" si="45"/>
        <v>227.78</v>
      </c>
    </row>
    <row r="141" spans="1:15">
      <c r="A141" s="2167">
        <v>46</v>
      </c>
      <c r="B141" s="206" t="s">
        <v>96</v>
      </c>
      <c r="C141" s="202">
        <v>395125</v>
      </c>
      <c r="D141" s="195">
        <f>ROUND((C141*(1+'Løntabel gældende fra'!$D$7%)),0)</f>
        <v>448113</v>
      </c>
      <c r="E141" s="203">
        <v>395125</v>
      </c>
      <c r="F141" s="204">
        <f>ROUND((E141*(1+'Løntabel gældende fra'!$D$7%)),0)</f>
        <v>448113</v>
      </c>
      <c r="G141" s="202">
        <v>395125</v>
      </c>
      <c r="H141" s="195">
        <f>ROUND((G141*(1+'Løntabel gældende fra'!$D$7%)),0)</f>
        <v>448113</v>
      </c>
      <c r="I141" s="203">
        <v>395125</v>
      </c>
      <c r="J141" s="204">
        <f>ROUND((I141*(1+'Løntabel gældende fra'!$D$7%)),0)</f>
        <v>448113</v>
      </c>
      <c r="K141" s="202">
        <v>395125</v>
      </c>
      <c r="L141" s="195">
        <f>ROUND((K141*(1+'Løntabel gældende fra'!$D$7%)),0)</f>
        <v>448113</v>
      </c>
      <c r="M141" s="421"/>
      <c r="N141" s="399">
        <v>395124.74</v>
      </c>
      <c r="O141" s="209">
        <f>ROUND(N141*(1+'Løntabel gældende fra'!$D$7%),2)</f>
        <v>448112.55</v>
      </c>
    </row>
    <row r="142" spans="1:15">
      <c r="A142" s="2165"/>
      <c r="B142" s="405" t="s">
        <v>97</v>
      </c>
      <c r="C142" s="408"/>
      <c r="D142" s="415">
        <f>ROUND(D141/12,2)</f>
        <v>37342.75</v>
      </c>
      <c r="E142" s="412">
        <f>E141/12</f>
        <v>32927.083333333336</v>
      </c>
      <c r="F142" s="397">
        <f>ROUND(F141/12,2)</f>
        <v>37342.75</v>
      </c>
      <c r="G142" s="408">
        <f>G141/12</f>
        <v>32927.083333333336</v>
      </c>
      <c r="H142" s="415">
        <f>ROUND(H141/12,2)</f>
        <v>37342.75</v>
      </c>
      <c r="I142" s="412">
        <f>I141/12</f>
        <v>32927.083333333336</v>
      </c>
      <c r="J142" s="397">
        <f>ROUND(J141/12,2)</f>
        <v>37342.75</v>
      </c>
      <c r="K142" s="408">
        <f>K141/12</f>
        <v>32927.083333333336</v>
      </c>
      <c r="L142" s="415">
        <f>ROUND(L141/12,2)</f>
        <v>37342.75</v>
      </c>
      <c r="M142" s="420"/>
      <c r="N142" s="398"/>
      <c r="O142" s="400">
        <f>ROUND(O141/12,2)</f>
        <v>37342.71</v>
      </c>
    </row>
    <row r="143" spans="1:15" ht="16" thickBot="1">
      <c r="A143" s="2166"/>
      <c r="B143" s="406" t="s">
        <v>226</v>
      </c>
      <c r="C143" s="199">
        <f>C141/12</f>
        <v>32927.083333333336</v>
      </c>
      <c r="D143" s="200">
        <f>ROUND(D142/160.33,2)</f>
        <v>232.91</v>
      </c>
      <c r="E143" s="413"/>
      <c r="F143" s="200">
        <f t="shared" ref="F143:O143" si="46">ROUND(F142/160.33,2)</f>
        <v>232.91</v>
      </c>
      <c r="G143" s="200">
        <f t="shared" si="46"/>
        <v>205.37</v>
      </c>
      <c r="H143" s="200">
        <f t="shared" si="46"/>
        <v>232.91</v>
      </c>
      <c r="I143" s="200">
        <f t="shared" si="46"/>
        <v>205.37</v>
      </c>
      <c r="J143" s="200">
        <f t="shared" si="46"/>
        <v>232.91</v>
      </c>
      <c r="K143" s="200">
        <f t="shared" si="46"/>
        <v>205.37</v>
      </c>
      <c r="L143" s="200">
        <f t="shared" si="46"/>
        <v>232.91</v>
      </c>
      <c r="M143" s="200">
        <f t="shared" si="46"/>
        <v>0</v>
      </c>
      <c r="N143" s="200">
        <f t="shared" si="46"/>
        <v>0</v>
      </c>
      <c r="O143" s="200">
        <f t="shared" si="46"/>
        <v>232.91</v>
      </c>
    </row>
    <row r="144" spans="1:15">
      <c r="A144" s="2164">
        <v>47</v>
      </c>
      <c r="B144" s="205" t="s">
        <v>96</v>
      </c>
      <c r="C144" s="194">
        <v>413269</v>
      </c>
      <c r="D144" s="198">
        <f>ROUND((C144*(1+'Løntabel gældende fra'!$D$7%)),0)</f>
        <v>468690</v>
      </c>
      <c r="E144" s="196">
        <v>413269</v>
      </c>
      <c r="F144" s="197">
        <f>ROUND((E144*(1+'Løntabel gældende fra'!$D$7%)),0)</f>
        <v>468690</v>
      </c>
      <c r="G144" s="194">
        <v>413269</v>
      </c>
      <c r="H144" s="198">
        <f>ROUND((G144*(1+'Løntabel gældende fra'!$D$7%)),0)</f>
        <v>468690</v>
      </c>
      <c r="I144" s="196">
        <v>413269</v>
      </c>
      <c r="J144" s="197">
        <f>ROUND((I144*(1+'Løntabel gældende fra'!$D$7%)),0)</f>
        <v>468690</v>
      </c>
      <c r="K144" s="194">
        <v>413269</v>
      </c>
      <c r="L144" s="198">
        <f>ROUND((K144*(1+'Løntabel gældende fra'!$D$7%)),0)</f>
        <v>468690</v>
      </c>
      <c r="M144" s="422"/>
      <c r="N144" s="401">
        <v>413268.87</v>
      </c>
      <c r="O144" s="402">
        <f>ROUND(N144*(1+'Løntabel gældende fra'!$D$7%),2)</f>
        <v>468689.88</v>
      </c>
    </row>
    <row r="145" spans="1:15">
      <c r="A145" s="2165"/>
      <c r="B145" s="405" t="s">
        <v>231</v>
      </c>
      <c r="C145" s="408"/>
      <c r="D145" s="415">
        <f>ROUND(D144/12,2)</f>
        <v>39057.5</v>
      </c>
      <c r="E145" s="412">
        <f>E144/12</f>
        <v>34439.083333333336</v>
      </c>
      <c r="F145" s="397">
        <f>ROUND(F144/12,2)</f>
        <v>39057.5</v>
      </c>
      <c r="G145" s="408">
        <f>G144/12</f>
        <v>34439.083333333336</v>
      </c>
      <c r="H145" s="415">
        <f>ROUND(H144/12,2)</f>
        <v>39057.5</v>
      </c>
      <c r="I145" s="412">
        <f>I144/12</f>
        <v>34439.083333333336</v>
      </c>
      <c r="J145" s="397">
        <f>ROUND(J144/12,2)</f>
        <v>39057.5</v>
      </c>
      <c r="K145" s="408">
        <f>K144/12</f>
        <v>34439.083333333336</v>
      </c>
      <c r="L145" s="415">
        <f>ROUND(L144/12,2)</f>
        <v>39057.5</v>
      </c>
      <c r="M145" s="420"/>
      <c r="N145" s="398"/>
      <c r="O145" s="400">
        <f>ROUND(O144/12,2)</f>
        <v>39057.49</v>
      </c>
    </row>
    <row r="146" spans="1:15" ht="16" thickBot="1">
      <c r="A146" s="2168"/>
      <c r="B146" s="407" t="s">
        <v>226</v>
      </c>
      <c r="C146" s="411">
        <f>C144/12</f>
        <v>34439.083333333336</v>
      </c>
      <c r="D146" s="200">
        <f>ROUND(D145/160.33,2)</f>
        <v>243.61</v>
      </c>
      <c r="E146" s="414"/>
      <c r="F146" s="200">
        <f t="shared" ref="F146:O146" si="47">ROUND(F145/160.33,2)</f>
        <v>243.61</v>
      </c>
      <c r="G146" s="200">
        <f t="shared" si="47"/>
        <v>214.8</v>
      </c>
      <c r="H146" s="200">
        <f t="shared" si="47"/>
        <v>243.61</v>
      </c>
      <c r="I146" s="200">
        <f t="shared" si="47"/>
        <v>214.8</v>
      </c>
      <c r="J146" s="200">
        <f t="shared" si="47"/>
        <v>243.61</v>
      </c>
      <c r="K146" s="200">
        <f t="shared" si="47"/>
        <v>214.8</v>
      </c>
      <c r="L146" s="200">
        <f t="shared" si="47"/>
        <v>243.61</v>
      </c>
      <c r="M146" s="200">
        <f t="shared" si="47"/>
        <v>0</v>
      </c>
      <c r="N146" s="200">
        <f t="shared" si="47"/>
        <v>0</v>
      </c>
      <c r="O146" s="200">
        <f t="shared" si="47"/>
        <v>243.61</v>
      </c>
    </row>
    <row r="147" spans="1:15">
      <c r="A147" s="2167">
        <v>48</v>
      </c>
      <c r="B147" s="206" t="s">
        <v>96</v>
      </c>
      <c r="C147" s="202">
        <v>441027</v>
      </c>
      <c r="D147" s="195">
        <f>ROUND((C147*(1+'Løntabel gældende fra'!$D$7%)),0)</f>
        <v>500170</v>
      </c>
      <c r="E147" s="203">
        <v>441027</v>
      </c>
      <c r="F147" s="204">
        <f>ROUND((E147*(1+'Løntabel gældende fra'!$D$7%)),0)</f>
        <v>500170</v>
      </c>
      <c r="G147" s="202">
        <v>441027</v>
      </c>
      <c r="H147" s="195">
        <f>ROUND((G147*(1+'Løntabel gældende fra'!$D$7%)),0)</f>
        <v>500170</v>
      </c>
      <c r="I147" s="203">
        <v>441027</v>
      </c>
      <c r="J147" s="204">
        <f>ROUND((I147*(1+'Løntabel gældende fra'!$D$7%)),0)</f>
        <v>500170</v>
      </c>
      <c r="K147" s="202">
        <v>441027</v>
      </c>
      <c r="L147" s="195">
        <f>ROUND((K147*(1+'Løntabel gældende fra'!$D$7%)),0)</f>
        <v>500170</v>
      </c>
      <c r="M147" s="421"/>
      <c r="N147" s="399">
        <v>441025.75</v>
      </c>
      <c r="O147" s="209">
        <f>ROUND(N147*(1+'Løntabel gældende fra'!$D$7%),2)</f>
        <v>500169.07</v>
      </c>
    </row>
    <row r="148" spans="1:15">
      <c r="A148" s="2165"/>
      <c r="B148" s="405" t="s">
        <v>231</v>
      </c>
      <c r="C148" s="408"/>
      <c r="D148" s="415">
        <f>ROUND(D147/12,2)</f>
        <v>41680.83</v>
      </c>
      <c r="E148" s="412">
        <f>E147/12</f>
        <v>36752.25</v>
      </c>
      <c r="F148" s="397">
        <f>ROUND(F147/12,2)</f>
        <v>41680.83</v>
      </c>
      <c r="G148" s="408">
        <f>G147/12</f>
        <v>36752.25</v>
      </c>
      <c r="H148" s="415">
        <f>ROUND(H147/12,2)</f>
        <v>41680.83</v>
      </c>
      <c r="I148" s="412">
        <f>I147/12</f>
        <v>36752.25</v>
      </c>
      <c r="J148" s="397">
        <f>ROUND(J147/12,2)</f>
        <v>41680.83</v>
      </c>
      <c r="K148" s="408">
        <f>K147/12</f>
        <v>36752.25</v>
      </c>
      <c r="L148" s="415">
        <f>ROUND(L147/12,2)</f>
        <v>41680.83</v>
      </c>
      <c r="M148" s="420"/>
      <c r="N148" s="398"/>
      <c r="O148" s="400">
        <f>ROUND(O147/12,2)</f>
        <v>41680.76</v>
      </c>
    </row>
    <row r="149" spans="1:15" ht="16" thickBot="1">
      <c r="A149" s="2166"/>
      <c r="B149" s="406" t="s">
        <v>226</v>
      </c>
      <c r="C149" s="199">
        <f>C147/12</f>
        <v>36752.25</v>
      </c>
      <c r="D149" s="200">
        <f>ROUND(D148/160.33,2)</f>
        <v>259.97000000000003</v>
      </c>
      <c r="E149" s="413"/>
      <c r="F149" s="200">
        <f t="shared" ref="F149:O149" si="48">ROUND(F148/160.33,2)</f>
        <v>259.97000000000003</v>
      </c>
      <c r="G149" s="200">
        <f t="shared" si="48"/>
        <v>229.23</v>
      </c>
      <c r="H149" s="200">
        <f t="shared" si="48"/>
        <v>259.97000000000003</v>
      </c>
      <c r="I149" s="200">
        <f t="shared" si="48"/>
        <v>229.23</v>
      </c>
      <c r="J149" s="200">
        <f t="shared" si="48"/>
        <v>259.97000000000003</v>
      </c>
      <c r="K149" s="200">
        <f t="shared" si="48"/>
        <v>229.23</v>
      </c>
      <c r="L149" s="200">
        <f t="shared" si="48"/>
        <v>259.97000000000003</v>
      </c>
      <c r="M149" s="200">
        <f t="shared" si="48"/>
        <v>0</v>
      </c>
      <c r="N149" s="200">
        <f t="shared" si="48"/>
        <v>0</v>
      </c>
      <c r="O149" s="200">
        <f t="shared" si="48"/>
        <v>259.97000000000003</v>
      </c>
    </row>
    <row r="150" spans="1:15">
      <c r="A150" s="2164">
        <v>49</v>
      </c>
      <c r="B150" s="205" t="s">
        <v>96</v>
      </c>
      <c r="C150" s="194">
        <v>471781</v>
      </c>
      <c r="D150" s="198">
        <f>ROUND((C150*(1+'Løntabel gældende fra'!$D$7%)),0)</f>
        <v>535049</v>
      </c>
      <c r="E150" s="196">
        <v>471781</v>
      </c>
      <c r="F150" s="197">
        <f>ROUND((E150*(1+'Løntabel gældende fra'!$D$7%)),0)</f>
        <v>535049</v>
      </c>
      <c r="G150" s="194">
        <v>471781</v>
      </c>
      <c r="H150" s="198">
        <f>ROUND((G150*(1+'Løntabel gældende fra'!$D$7%)),0)</f>
        <v>535049</v>
      </c>
      <c r="I150" s="196">
        <v>471781</v>
      </c>
      <c r="J150" s="197">
        <f>ROUND((I150*(1+'Løntabel gældende fra'!$D$7%)),0)</f>
        <v>535049</v>
      </c>
      <c r="K150" s="194">
        <v>471781</v>
      </c>
      <c r="L150" s="198">
        <f>ROUND((K150*(1+'Løntabel gældende fra'!$D$7%)),0)</f>
        <v>535049</v>
      </c>
      <c r="M150" s="422"/>
      <c r="N150" s="401">
        <v>471780.9</v>
      </c>
      <c r="O150" s="402">
        <f>ROUND(N150*(1+'Løntabel gældende fra'!$D$7%),2)</f>
        <v>535048.61</v>
      </c>
    </row>
    <row r="151" spans="1:15">
      <c r="A151" s="2165"/>
      <c r="B151" s="405" t="s">
        <v>231</v>
      </c>
      <c r="C151" s="408"/>
      <c r="D151" s="415">
        <f>ROUND(D150/12,2)</f>
        <v>44587.42</v>
      </c>
      <c r="E151" s="412">
        <f>E150/12</f>
        <v>39315.083333333336</v>
      </c>
      <c r="F151" s="397">
        <f>ROUND(F150/12,2)</f>
        <v>44587.42</v>
      </c>
      <c r="G151" s="408">
        <f>G150/12</f>
        <v>39315.083333333336</v>
      </c>
      <c r="H151" s="415">
        <f>ROUND(H150/12,2)</f>
        <v>44587.42</v>
      </c>
      <c r="I151" s="412">
        <f>I150/12</f>
        <v>39315.083333333336</v>
      </c>
      <c r="J151" s="397">
        <f>ROUND(J150/12,2)</f>
        <v>44587.42</v>
      </c>
      <c r="K151" s="408">
        <f>K150/12</f>
        <v>39315.083333333336</v>
      </c>
      <c r="L151" s="415">
        <f>ROUND(L150/12,2)</f>
        <v>44587.42</v>
      </c>
      <c r="M151" s="420"/>
      <c r="N151" s="398"/>
      <c r="O151" s="400">
        <f>ROUND(O150/12,2)</f>
        <v>44587.38</v>
      </c>
    </row>
    <row r="152" spans="1:15" ht="16" thickBot="1">
      <c r="A152" s="2168"/>
      <c r="B152" s="407" t="s">
        <v>226</v>
      </c>
      <c r="C152" s="411">
        <f>C150/12</f>
        <v>39315.083333333336</v>
      </c>
      <c r="D152" s="200">
        <f>ROUND(D151/160.33,2)</f>
        <v>278.10000000000002</v>
      </c>
      <c r="E152" s="414"/>
      <c r="F152" s="200">
        <f t="shared" ref="F152:O152" si="49">ROUND(F151/160.33,2)</f>
        <v>278.10000000000002</v>
      </c>
      <c r="G152" s="200">
        <f t="shared" si="49"/>
        <v>245.21</v>
      </c>
      <c r="H152" s="200">
        <f t="shared" si="49"/>
        <v>278.10000000000002</v>
      </c>
      <c r="I152" s="200">
        <f t="shared" si="49"/>
        <v>245.21</v>
      </c>
      <c r="J152" s="200">
        <f t="shared" si="49"/>
        <v>278.10000000000002</v>
      </c>
      <c r="K152" s="200">
        <f t="shared" si="49"/>
        <v>245.21</v>
      </c>
      <c r="L152" s="200">
        <f t="shared" si="49"/>
        <v>278.10000000000002</v>
      </c>
      <c r="M152" s="200">
        <f t="shared" si="49"/>
        <v>0</v>
      </c>
      <c r="N152" s="200">
        <f t="shared" si="49"/>
        <v>0</v>
      </c>
      <c r="O152" s="200">
        <f t="shared" si="49"/>
        <v>278.10000000000002</v>
      </c>
    </row>
    <row r="153" spans="1:15">
      <c r="A153" s="2167">
        <v>50</v>
      </c>
      <c r="B153" s="206" t="s">
        <v>96</v>
      </c>
      <c r="C153" s="202">
        <v>521094</v>
      </c>
      <c r="D153" s="195">
        <f>ROUND((C153*(1+'Løntabel gældende fra'!$D$7%)),0)</f>
        <v>590975</v>
      </c>
      <c r="E153" s="203">
        <v>521094</v>
      </c>
      <c r="F153" s="204">
        <f>ROUND((E153*(1+'Løntabel gældende fra'!$D$7%)),0)</f>
        <v>590975</v>
      </c>
      <c r="G153" s="417">
        <v>521094</v>
      </c>
      <c r="H153" s="195">
        <f>ROUND((G153*(1+'Løntabel gældende fra'!$D$7%)),0)</f>
        <v>590975</v>
      </c>
      <c r="I153" s="418">
        <v>521094</v>
      </c>
      <c r="J153" s="204">
        <f>ROUND((I153*(1+'Løntabel gældende fra'!$D$7%)),0)</f>
        <v>590975</v>
      </c>
      <c r="K153" s="417">
        <v>521094</v>
      </c>
      <c r="L153" s="195">
        <f>ROUND((K153*(1+'Løntabel gældende fra'!$D$7%)),0)</f>
        <v>590975</v>
      </c>
      <c r="M153" s="421"/>
      <c r="N153" s="399">
        <v>521094.47</v>
      </c>
      <c r="O153" s="209">
        <f>ROUND(N153*(1+'Løntabel gældende fra'!$D$7%),2)</f>
        <v>590975.31999999995</v>
      </c>
    </row>
    <row r="154" spans="1:15">
      <c r="A154" s="2165"/>
      <c r="B154" s="405" t="s">
        <v>231</v>
      </c>
      <c r="C154" s="408"/>
      <c r="D154" s="415">
        <f>ROUND(D153/12,2)</f>
        <v>49247.92</v>
      </c>
      <c r="E154" s="412">
        <f>E153/12</f>
        <v>43424.5</v>
      </c>
      <c r="F154" s="397">
        <f>ROUND(F153/12,2)</f>
        <v>49247.92</v>
      </c>
      <c r="G154" s="408">
        <f>G153/12</f>
        <v>43424.5</v>
      </c>
      <c r="H154" s="415">
        <f>ROUND(H153/12,2)</f>
        <v>49247.92</v>
      </c>
      <c r="I154" s="412">
        <f>I153/12</f>
        <v>43424.5</v>
      </c>
      <c r="J154" s="397">
        <f>ROUND(J153/12,2)</f>
        <v>49247.92</v>
      </c>
      <c r="K154" s="408">
        <f>K153/12</f>
        <v>43424.5</v>
      </c>
      <c r="L154" s="415">
        <f>ROUND(L153/12,2)</f>
        <v>49247.92</v>
      </c>
      <c r="M154" s="420"/>
      <c r="N154" s="398"/>
      <c r="O154" s="400">
        <f>ROUND(O153/12,2)</f>
        <v>49247.94</v>
      </c>
    </row>
    <row r="155" spans="1:15" ht="16" thickBot="1">
      <c r="A155" s="2166"/>
      <c r="B155" s="406" t="s">
        <v>226</v>
      </c>
      <c r="C155" s="199">
        <f>C153/12</f>
        <v>43424.5</v>
      </c>
      <c r="D155" s="200">
        <f>ROUND(D154/160.33,2)</f>
        <v>307.17</v>
      </c>
      <c r="E155" s="413"/>
      <c r="F155" s="200">
        <f t="shared" ref="F155:O155" si="50">ROUND(F154/160.33,2)</f>
        <v>307.17</v>
      </c>
      <c r="G155" s="200">
        <f t="shared" si="50"/>
        <v>270.83999999999997</v>
      </c>
      <c r="H155" s="200">
        <f t="shared" si="50"/>
        <v>307.17</v>
      </c>
      <c r="I155" s="200">
        <f t="shared" si="50"/>
        <v>270.83999999999997</v>
      </c>
      <c r="J155" s="200">
        <f t="shared" si="50"/>
        <v>307.17</v>
      </c>
      <c r="K155" s="200">
        <f t="shared" si="50"/>
        <v>270.83999999999997</v>
      </c>
      <c r="L155" s="200">
        <f t="shared" si="50"/>
        <v>307.17</v>
      </c>
      <c r="M155" s="200">
        <f t="shared" si="50"/>
        <v>0</v>
      </c>
      <c r="N155" s="200">
        <f t="shared" si="50"/>
        <v>0</v>
      </c>
      <c r="O155" s="200">
        <f t="shared" si="50"/>
        <v>307.17</v>
      </c>
    </row>
    <row r="156" spans="1:15">
      <c r="A156" s="2164">
        <v>51</v>
      </c>
      <c r="B156" s="205" t="s">
        <v>96</v>
      </c>
      <c r="C156" s="194">
        <v>592911</v>
      </c>
      <c r="D156" s="198">
        <f>ROUND((C156*(1+'Løntabel gældende fra'!$D$7%)),0)</f>
        <v>672423</v>
      </c>
      <c r="E156" s="196">
        <v>592911</v>
      </c>
      <c r="F156" s="197">
        <f>ROUND((E156*(1+'Løntabel gældende fra'!$D$7%)),0)</f>
        <v>672423</v>
      </c>
      <c r="G156" s="207">
        <v>592911</v>
      </c>
      <c r="H156" s="198">
        <f>ROUND((G156*(1+'Løntabel gældende fra'!$D$7%)),0)</f>
        <v>672423</v>
      </c>
      <c r="I156" s="208">
        <v>592911</v>
      </c>
      <c r="J156" s="197">
        <f>ROUND((I156*(1+'Løntabel gældende fra'!$D$7%)),0)</f>
        <v>672423</v>
      </c>
      <c r="K156" s="207">
        <v>592911</v>
      </c>
      <c r="L156" s="198">
        <f>ROUND((K156*(1+'Løntabel gældende fra'!$D$7%)),0)</f>
        <v>672423</v>
      </c>
      <c r="M156" s="422"/>
      <c r="N156" s="401">
        <v>592911.94999999995</v>
      </c>
      <c r="O156" s="402">
        <f>ROUND(N156*(1+'Løntabel gældende fra'!$D$7%),2)</f>
        <v>672423.81</v>
      </c>
    </row>
    <row r="157" spans="1:15">
      <c r="A157" s="2165"/>
      <c r="B157" s="405" t="s">
        <v>97</v>
      </c>
      <c r="C157" s="408"/>
      <c r="D157" s="415">
        <f>ROUND(D156/12,2)</f>
        <v>56035.25</v>
      </c>
      <c r="E157" s="412">
        <f>E156/12</f>
        <v>49409.25</v>
      </c>
      <c r="F157" s="397">
        <f>ROUND(F156/12,2)</f>
        <v>56035.25</v>
      </c>
      <c r="G157" s="408">
        <f>G156/12</f>
        <v>49409.25</v>
      </c>
      <c r="H157" s="415">
        <f>ROUND(H156/12,2)</f>
        <v>56035.25</v>
      </c>
      <c r="I157" s="412">
        <f>I156/12</f>
        <v>49409.25</v>
      </c>
      <c r="J157" s="397">
        <f>ROUND(J156/12,2)</f>
        <v>56035.25</v>
      </c>
      <c r="K157" s="408">
        <f>K156/12</f>
        <v>49409.25</v>
      </c>
      <c r="L157" s="415">
        <f>ROUND(L156/12,2)</f>
        <v>56035.25</v>
      </c>
      <c r="M157" s="420"/>
      <c r="N157" s="398"/>
      <c r="O157" s="400">
        <f>ROUND(O156/12,2)</f>
        <v>56035.32</v>
      </c>
    </row>
    <row r="158" spans="1:15" ht="16" thickBot="1">
      <c r="A158" s="2166"/>
      <c r="B158" s="406" t="s">
        <v>226</v>
      </c>
      <c r="C158" s="199">
        <f>C156/12</f>
        <v>49409.25</v>
      </c>
      <c r="D158" s="200">
        <f>ROUND(D157/160.33,2)</f>
        <v>349.5</v>
      </c>
      <c r="E158" s="413"/>
      <c r="F158" s="200">
        <f t="shared" ref="F158:O158" si="51">ROUND(F157/160.33,2)</f>
        <v>349.5</v>
      </c>
      <c r="G158" s="200">
        <f t="shared" si="51"/>
        <v>308.17</v>
      </c>
      <c r="H158" s="200">
        <f t="shared" si="51"/>
        <v>349.5</v>
      </c>
      <c r="I158" s="200">
        <f t="shared" si="51"/>
        <v>308.17</v>
      </c>
      <c r="J158" s="200">
        <f t="shared" si="51"/>
        <v>349.5</v>
      </c>
      <c r="K158" s="200">
        <f t="shared" si="51"/>
        <v>308.17</v>
      </c>
      <c r="L158" s="200">
        <f t="shared" si="51"/>
        <v>349.5</v>
      </c>
      <c r="M158" s="200">
        <f t="shared" si="51"/>
        <v>0</v>
      </c>
      <c r="N158" s="200">
        <f t="shared" si="51"/>
        <v>0</v>
      </c>
      <c r="O158" s="200">
        <f t="shared" si="51"/>
        <v>349.5</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8"/>
  <sheetViews>
    <sheetView view="pageBreakPreview" zoomScale="125" zoomScaleNormal="125" zoomScalePageLayoutView="125" workbookViewId="0">
      <selection activeCell="E19" sqref="E1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48" t="s">
        <v>510</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81" t="s">
        <v>29</v>
      </c>
      <c r="B7" s="2181"/>
      <c r="C7" s="636">
        <v>44652</v>
      </c>
      <c r="D7" s="30">
        <v>13.410399999999999</v>
      </c>
      <c r="E7" s="29" t="s">
        <v>33</v>
      </c>
      <c r="F7" s="29"/>
      <c r="G7" s="144">
        <v>44835</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82" t="s">
        <v>32</v>
      </c>
      <c r="D10" s="2183"/>
      <c r="E10" s="2183"/>
      <c r="F10" s="2183"/>
      <c r="G10" s="2183"/>
      <c r="H10" s="2"/>
      <c r="I10" s="2"/>
    </row>
    <row r="11" spans="1:9">
      <c r="A11" s="218">
        <v>40999</v>
      </c>
      <c r="B11" s="31">
        <v>1</v>
      </c>
      <c r="C11" s="2182"/>
      <c r="D11" s="2183"/>
      <c r="E11" s="2183"/>
      <c r="F11" s="2183"/>
      <c r="G11" s="2183"/>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19">
        <v>41730</v>
      </c>
      <c r="B14" s="18">
        <v>1.7161999999999999</v>
      </c>
      <c r="C14" s="20"/>
      <c r="D14" s="20"/>
      <c r="E14" s="20"/>
      <c r="F14" s="20"/>
      <c r="G14" s="20"/>
      <c r="H14" s="2"/>
      <c r="I14" s="2"/>
    </row>
    <row r="15" spans="1:9">
      <c r="A15" s="219">
        <v>42095</v>
      </c>
      <c r="B15" s="18">
        <v>2.1745000000000001</v>
      </c>
      <c r="C15" s="20"/>
      <c r="D15" s="20"/>
      <c r="E15" s="20"/>
      <c r="F15" s="20"/>
      <c r="G15" s="20"/>
      <c r="H15" s="2"/>
      <c r="I15" s="2"/>
    </row>
    <row r="16" spans="1:9">
      <c r="A16" s="219">
        <v>42461</v>
      </c>
      <c r="B16" s="18">
        <v>2.9882</v>
      </c>
      <c r="C16" s="20"/>
      <c r="D16" s="20"/>
      <c r="E16" s="20"/>
      <c r="F16" s="20"/>
      <c r="G16" s="20"/>
      <c r="H16" s="2"/>
      <c r="I16" s="2"/>
    </row>
    <row r="17" spans="1:12">
      <c r="A17" s="219">
        <v>42826</v>
      </c>
      <c r="B17" s="18">
        <v>4.2446000000000002</v>
      </c>
      <c r="C17" s="20"/>
      <c r="D17" s="20"/>
      <c r="E17" s="20"/>
      <c r="F17" s="20"/>
      <c r="G17" s="20"/>
      <c r="H17" s="2"/>
      <c r="I17" s="2"/>
      <c r="L17" s="13"/>
    </row>
    <row r="18" spans="1:12">
      <c r="A18" s="219">
        <v>43070</v>
      </c>
      <c r="B18" s="18">
        <v>5.7702999999999998</v>
      </c>
      <c r="C18" s="20"/>
      <c r="D18" s="20"/>
      <c r="E18" s="20"/>
      <c r="F18" s="29"/>
      <c r="G18" s="20"/>
      <c r="H18" s="2"/>
      <c r="I18" s="2"/>
    </row>
    <row r="19" spans="1:12">
      <c r="A19" s="780">
        <v>43191</v>
      </c>
      <c r="B19" s="781">
        <v>6.9683000000000002</v>
      </c>
      <c r="C19" s="20"/>
      <c r="D19" s="20"/>
      <c r="E19" s="20"/>
      <c r="F19" s="20"/>
      <c r="G19" s="20"/>
      <c r="H19" s="2"/>
      <c r="I19" s="2"/>
    </row>
    <row r="20" spans="1:12">
      <c r="A20" s="780">
        <v>43373</v>
      </c>
      <c r="B20" s="781">
        <v>7.4972000000000003</v>
      </c>
      <c r="C20" s="20"/>
      <c r="D20" s="20"/>
      <c r="E20" s="20"/>
      <c r="F20" s="20"/>
      <c r="G20" s="20"/>
      <c r="H20" s="2"/>
      <c r="I20" s="2"/>
    </row>
    <row r="21" spans="1:12">
      <c r="A21" s="780">
        <v>43556</v>
      </c>
      <c r="B21" s="781">
        <v>8.4910999999999994</v>
      </c>
      <c r="C21" s="20"/>
      <c r="D21" s="20"/>
      <c r="E21" s="20"/>
      <c r="F21" s="20"/>
      <c r="G21" s="20"/>
      <c r="H21" s="2"/>
      <c r="I21" s="2"/>
    </row>
    <row r="22" spans="1:12">
      <c r="A22" s="780">
        <v>43739</v>
      </c>
      <c r="B22" s="781">
        <v>9.4007000000000005</v>
      </c>
      <c r="C22" s="20"/>
      <c r="D22" s="20"/>
      <c r="E22" s="20"/>
      <c r="F22" s="20"/>
      <c r="G22" s="20"/>
      <c r="H22" s="2"/>
      <c r="I22" s="2"/>
    </row>
    <row r="23" spans="1:12">
      <c r="A23" s="780">
        <v>43922</v>
      </c>
      <c r="B23" s="781">
        <v>10.323600000000001</v>
      </c>
      <c r="C23" s="20"/>
      <c r="D23" s="20"/>
      <c r="E23" s="20"/>
      <c r="F23" s="20"/>
      <c r="G23" s="20"/>
      <c r="H23" s="2"/>
      <c r="I23" s="2"/>
    </row>
    <row r="24" spans="1:12">
      <c r="A24" s="780">
        <v>44228</v>
      </c>
      <c r="B24" s="781">
        <v>10.2211</v>
      </c>
      <c r="C24" s="20"/>
      <c r="D24" s="20"/>
      <c r="E24" s="20"/>
      <c r="F24" s="20"/>
      <c r="G24" s="20"/>
      <c r="H24" s="2"/>
      <c r="I24" s="2"/>
    </row>
    <row r="25" spans="1:12">
      <c r="A25" s="780">
        <v>44287</v>
      </c>
      <c r="B25" s="781">
        <v>11.1029</v>
      </c>
      <c r="C25" s="20"/>
      <c r="D25" s="20"/>
      <c r="E25" s="20"/>
      <c r="F25" s="20"/>
      <c r="G25" s="20"/>
      <c r="H25" s="2"/>
      <c r="I25" s="2"/>
    </row>
    <row r="26" spans="1:12">
      <c r="A26" s="780">
        <v>44470</v>
      </c>
      <c r="B26" s="781">
        <v>11.4336</v>
      </c>
      <c r="C26" s="20"/>
      <c r="D26" s="20"/>
      <c r="E26" s="20"/>
      <c r="F26" s="20"/>
      <c r="G26" s="20"/>
      <c r="H26" s="2"/>
      <c r="I26" s="2"/>
    </row>
    <row r="27" spans="1:12" ht="16" thickBot="1">
      <c r="A27" s="800">
        <v>44652</v>
      </c>
      <c r="B27" s="801">
        <v>13.410399999999999</v>
      </c>
      <c r="C27" s="20"/>
      <c r="D27" s="20"/>
      <c r="E27" s="20"/>
      <c r="F27" s="20"/>
      <c r="G27" s="20"/>
      <c r="H27" s="2"/>
      <c r="I27" s="2"/>
    </row>
    <row r="28" spans="1:12">
      <c r="A28" s="942"/>
      <c r="B28" s="104"/>
      <c r="C28" s="20"/>
      <c r="D28" s="20"/>
      <c r="E28" s="20"/>
      <c r="F28" s="20"/>
      <c r="G28" s="20"/>
      <c r="H28" s="2"/>
      <c r="I28" s="2"/>
    </row>
  </sheetData>
  <sheetProtection sheet="1" objects="1" scenarios="1"/>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 (2)</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 (2)'!Udskriftsområde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2022-07-08T10:54:55Z</cp:lastPrinted>
  <dcterms:created xsi:type="dcterms:W3CDTF">2014-05-07T09:31:49Z</dcterms:created>
  <dcterms:modified xsi:type="dcterms:W3CDTF">2022-07-09T11:10:40Z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